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omments1.xml" ContentType="application/vnd.openxmlformats-officedocument.spreadsheetml.comments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uis\Desktop\HECTOR 2017\NOMINA CENDI\"/>
    </mc:Choice>
  </mc:AlternateContent>
  <bookViews>
    <workbookView xWindow="0" yWindow="0" windowWidth="24000" windowHeight="9600" firstSheet="34" activeTab="34"/>
  </bookViews>
  <sheets>
    <sheet name="Nómina 1a. Sep" sheetId="5" r:id="rId1"/>
    <sheet name="Nómina 2a. sep" sheetId="6" r:id="rId2"/>
    <sheet name="Nómina 1a. oct" sheetId="7" r:id="rId3"/>
    <sheet name="Nómina 2a. oct (2)" sheetId="8" r:id="rId4"/>
    <sheet name="1A NOVIEMBRE 2015" sheetId="14" r:id="rId5"/>
    <sheet name="2A NOVIEMBRE 2015" sheetId="16" r:id="rId6"/>
    <sheet name="1A DICIEMBRE 2015" sheetId="18" r:id="rId7"/>
    <sheet name="2A DICIEMBRE 2015" sheetId="22" r:id="rId8"/>
    <sheet name="1A ENERO 2016" sheetId="24" r:id="rId9"/>
    <sheet name="2A ENERO 2016" sheetId="27" r:id="rId10"/>
    <sheet name="1A FEBRERO 2016" sheetId="28" r:id="rId11"/>
    <sheet name="2A FEBRERO 2016" sheetId="29" r:id="rId12"/>
    <sheet name="1A MARZO 2016" sheetId="30" r:id="rId13"/>
    <sheet name="2A MARZO 2016" sheetId="31" r:id="rId14"/>
    <sheet name="1A ABRIL 2016" sheetId="32" r:id="rId15"/>
    <sheet name="2A ABRIL 2016" sheetId="33" r:id="rId16"/>
    <sheet name="1A MAYO" sheetId="34" r:id="rId17"/>
    <sheet name="2A MAYO" sheetId="35" r:id="rId18"/>
    <sheet name="1A JUNIO " sheetId="40" r:id="rId19"/>
    <sheet name="2DA JUNIO" sheetId="41" r:id="rId20"/>
    <sheet name="1A JULIO" sheetId="43" r:id="rId21"/>
    <sheet name="2DA JULIO " sheetId="44" r:id="rId22"/>
    <sheet name="1A AGOSTO" sheetId="45" r:id="rId23"/>
    <sheet name="2DA AGOSTO " sheetId="46" r:id="rId24"/>
    <sheet name="1RA SEPTIEMBRE " sheetId="47" r:id="rId25"/>
    <sheet name="BONO SERVIDOR " sheetId="48" r:id="rId26"/>
    <sheet name="2DA SEPTIEMBRE  " sheetId="50" r:id="rId27"/>
    <sheet name="1RA OCTUBRE " sheetId="51" r:id="rId28"/>
    <sheet name="2DA OCTUBRE  " sheetId="52" r:id="rId29"/>
    <sheet name="1RA NOVIEMBRE  " sheetId="53" r:id="rId30"/>
    <sheet name="2DA NOVIEMBRE " sheetId="54" r:id="rId31"/>
    <sheet name="Aguinaldo" sheetId="55" r:id="rId32"/>
    <sheet name="1RA DICIEMBRE " sheetId="56" r:id="rId33"/>
    <sheet name="2DA DICIEMBRE " sheetId="57" r:id="rId34"/>
    <sheet name="1RA ENERO 2017" sheetId="58" r:id="rId35"/>
    <sheet name="2DA ENERO 2017 " sheetId="59" r:id="rId36"/>
    <sheet name="1RA FEBRERO 2017  " sheetId="60" r:id="rId37"/>
    <sheet name="2DA FEBRERO 2017   " sheetId="61" r:id="rId38"/>
    <sheet name="1A MARZO 2017  " sheetId="62" r:id="rId39"/>
    <sheet name="RETROACTIVO A FEB 2017" sheetId="63" r:id="rId40"/>
    <sheet name="2DA MARZO 2017   " sheetId="64" r:id="rId41"/>
    <sheet name="1RA ABRIL 2017    " sheetId="65" r:id="rId42"/>
    <sheet name="2DA ABRIL 2017    " sheetId="66" r:id="rId43"/>
    <sheet name="1RA MAYO 2017    " sheetId="67" r:id="rId44"/>
    <sheet name="2DA MAYO 2017 " sheetId="68" r:id="rId45"/>
  </sheets>
  <externalReferences>
    <externalReference r:id="rId46"/>
  </externalReferences>
  <definedNames>
    <definedName name="_xlnm._FilterDatabase" localSheetId="16" hidden="1">'1A MAYO'!$E$3:$E$62</definedName>
    <definedName name="_xlnm.Print_Area" localSheetId="17">'2A MAYO'!$B$1:$S$55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68" l="1"/>
  <c r="O51" i="68"/>
  <c r="M51" i="68"/>
  <c r="L51" i="68"/>
  <c r="J51" i="68"/>
  <c r="I51" i="68"/>
  <c r="G51" i="68"/>
  <c r="E51" i="68"/>
  <c r="U50" i="68"/>
  <c r="U51" i="68" s="1"/>
  <c r="T50" i="68"/>
  <c r="T51" i="68" s="1"/>
  <c r="S50" i="68"/>
  <c r="P50" i="68"/>
  <c r="P51" i="68" s="1"/>
  <c r="N50" i="68"/>
  <c r="N51" i="68" s="1"/>
  <c r="K50" i="68"/>
  <c r="K51" i="68" s="1"/>
  <c r="O47" i="68"/>
  <c r="M47" i="68"/>
  <c r="L47" i="68"/>
  <c r="J47" i="68"/>
  <c r="I47" i="68"/>
  <c r="H47" i="68"/>
  <c r="G47" i="68"/>
  <c r="E47" i="68"/>
  <c r="S46" i="68"/>
  <c r="V46" i="68" s="1"/>
  <c r="Q46" i="68"/>
  <c r="K46" i="68"/>
  <c r="U45" i="68"/>
  <c r="T45" i="68"/>
  <c r="S45" i="68"/>
  <c r="V45" i="68" s="1"/>
  <c r="P45" i="68"/>
  <c r="N45" i="68"/>
  <c r="K45" i="68"/>
  <c r="U44" i="68"/>
  <c r="U47" i="68" s="1"/>
  <c r="T44" i="68"/>
  <c r="S44" i="68"/>
  <c r="P44" i="68"/>
  <c r="Q44" i="68" s="1"/>
  <c r="K44" i="68"/>
  <c r="K47" i="68" s="1"/>
  <c r="O41" i="68"/>
  <c r="M41" i="68"/>
  <c r="L41" i="68"/>
  <c r="J41" i="68"/>
  <c r="I41" i="68"/>
  <c r="G41" i="68"/>
  <c r="E41" i="68"/>
  <c r="U40" i="68"/>
  <c r="T40" i="68"/>
  <c r="S40" i="68"/>
  <c r="P40" i="68"/>
  <c r="N40" i="68"/>
  <c r="Q40" i="68" s="1"/>
  <c r="K40" i="68"/>
  <c r="U39" i="68"/>
  <c r="T39" i="68"/>
  <c r="S39" i="68"/>
  <c r="V39" i="68" s="1"/>
  <c r="P39" i="68"/>
  <c r="N39" i="68"/>
  <c r="K39" i="68"/>
  <c r="U38" i="68"/>
  <c r="V38" i="68" s="1"/>
  <c r="T38" i="68"/>
  <c r="S38" i="68"/>
  <c r="P38" i="68"/>
  <c r="N38" i="68"/>
  <c r="K38" i="68"/>
  <c r="U37" i="68"/>
  <c r="T37" i="68"/>
  <c r="S37" i="68"/>
  <c r="P37" i="68"/>
  <c r="N37" i="68"/>
  <c r="Q37" i="68" s="1"/>
  <c r="K37" i="68"/>
  <c r="R37" i="68" s="1"/>
  <c r="U36" i="68"/>
  <c r="T36" i="68"/>
  <c r="S36" i="68"/>
  <c r="P36" i="68"/>
  <c r="N36" i="68"/>
  <c r="K36" i="68"/>
  <c r="U35" i="68"/>
  <c r="T35" i="68"/>
  <c r="S35" i="68"/>
  <c r="P35" i="68"/>
  <c r="N35" i="68"/>
  <c r="Q35" i="68" s="1"/>
  <c r="K35" i="68"/>
  <c r="R35" i="68" s="1"/>
  <c r="U34" i="68"/>
  <c r="T34" i="68"/>
  <c r="S34" i="68"/>
  <c r="P34" i="68"/>
  <c r="Q34" i="68" s="1"/>
  <c r="N34" i="68"/>
  <c r="K34" i="68"/>
  <c r="S33" i="68"/>
  <c r="V33" i="68" s="1"/>
  <c r="N33" i="68"/>
  <c r="Q33" i="68" s="1"/>
  <c r="K33" i="68"/>
  <c r="U32" i="68"/>
  <c r="T32" i="68"/>
  <c r="S32" i="68"/>
  <c r="P32" i="68"/>
  <c r="N32" i="68"/>
  <c r="Q32" i="68" s="1"/>
  <c r="K32" i="68"/>
  <c r="U31" i="68"/>
  <c r="T31" i="68"/>
  <c r="S31" i="68"/>
  <c r="P31" i="68"/>
  <c r="Q31" i="68" s="1"/>
  <c r="N31" i="68"/>
  <c r="K31" i="68"/>
  <c r="U30" i="68"/>
  <c r="V30" i="68" s="1"/>
  <c r="T30" i="68"/>
  <c r="S30" i="68"/>
  <c r="P30" i="68"/>
  <c r="Q30" i="68" s="1"/>
  <c r="N30" i="68"/>
  <c r="K30" i="68"/>
  <c r="O27" i="68"/>
  <c r="O54" i="68" s="1"/>
  <c r="M27" i="68"/>
  <c r="L27" i="68"/>
  <c r="J27" i="68"/>
  <c r="I27" i="68"/>
  <c r="G27" i="68"/>
  <c r="E27" i="68"/>
  <c r="U26" i="68"/>
  <c r="T26" i="68"/>
  <c r="S26" i="68"/>
  <c r="P26" i="68"/>
  <c r="N26" i="68"/>
  <c r="Q26" i="68" s="1"/>
  <c r="K26" i="68"/>
  <c r="U25" i="68"/>
  <c r="T25" i="68"/>
  <c r="S25" i="68"/>
  <c r="P25" i="68"/>
  <c r="P27" i="68" s="1"/>
  <c r="N25" i="68"/>
  <c r="K25" i="68"/>
  <c r="S24" i="68"/>
  <c r="N24" i="68"/>
  <c r="Q24" i="68" s="1"/>
  <c r="K24" i="68"/>
  <c r="S23" i="68"/>
  <c r="V23" i="68" s="1"/>
  <c r="N23" i="68"/>
  <c r="Q23" i="68" s="1"/>
  <c r="K23" i="68"/>
  <c r="O20" i="68"/>
  <c r="M20" i="68"/>
  <c r="L20" i="68"/>
  <c r="J20" i="68"/>
  <c r="I20" i="68"/>
  <c r="G20" i="68"/>
  <c r="E20" i="68"/>
  <c r="U19" i="68"/>
  <c r="T19" i="68"/>
  <c r="S19" i="68"/>
  <c r="P19" i="68"/>
  <c r="N19" i="68"/>
  <c r="Q19" i="68" s="1"/>
  <c r="K19" i="68"/>
  <c r="U18" i="68"/>
  <c r="T18" i="68"/>
  <c r="S18" i="68"/>
  <c r="V18" i="68" s="1"/>
  <c r="P18" i="68"/>
  <c r="N18" i="68"/>
  <c r="Q18" i="68" s="1"/>
  <c r="K18" i="68"/>
  <c r="U17" i="68"/>
  <c r="T17" i="68"/>
  <c r="S17" i="68"/>
  <c r="P17" i="68"/>
  <c r="N17" i="68"/>
  <c r="K17" i="68"/>
  <c r="U16" i="68"/>
  <c r="T16" i="68"/>
  <c r="S16" i="68"/>
  <c r="P16" i="68"/>
  <c r="N16" i="68"/>
  <c r="Q16" i="68" s="1"/>
  <c r="K16" i="68"/>
  <c r="U15" i="68"/>
  <c r="T15" i="68"/>
  <c r="S15" i="68"/>
  <c r="P15" i="68"/>
  <c r="Q15" i="68" s="1"/>
  <c r="N15" i="68"/>
  <c r="K15" i="68"/>
  <c r="U14" i="68"/>
  <c r="V14" i="68" s="1"/>
  <c r="T14" i="68"/>
  <c r="S14" i="68"/>
  <c r="P14" i="68"/>
  <c r="N14" i="68"/>
  <c r="Q14" i="68" s="1"/>
  <c r="R14" i="68" s="1"/>
  <c r="U13" i="68"/>
  <c r="T13" i="68"/>
  <c r="S13" i="68"/>
  <c r="V13" i="68" s="1"/>
  <c r="P13" i="68"/>
  <c r="N13" i="68"/>
  <c r="K13" i="68"/>
  <c r="U12" i="68"/>
  <c r="T12" i="68"/>
  <c r="S12" i="68"/>
  <c r="P12" i="68"/>
  <c r="N12" i="68"/>
  <c r="K12" i="68"/>
  <c r="O9" i="68"/>
  <c r="M9" i="68"/>
  <c r="L9" i="68"/>
  <c r="J9" i="68"/>
  <c r="I9" i="68"/>
  <c r="G9" i="68"/>
  <c r="E9" i="68"/>
  <c r="U8" i="68"/>
  <c r="T8" i="68"/>
  <c r="S8" i="68"/>
  <c r="P8" i="68"/>
  <c r="Q8" i="68" s="1"/>
  <c r="N8" i="68"/>
  <c r="K8" i="68"/>
  <c r="U7" i="68"/>
  <c r="V7" i="68" s="1"/>
  <c r="T7" i="68"/>
  <c r="S7" i="68"/>
  <c r="S9" i="68" s="1"/>
  <c r="P7" i="68"/>
  <c r="Q7" i="68" s="1"/>
  <c r="N7" i="68"/>
  <c r="N9" i="68" s="1"/>
  <c r="K7" i="68"/>
  <c r="V8" i="68" l="1"/>
  <c r="V9" i="68" s="1"/>
  <c r="V15" i="68"/>
  <c r="V17" i="68"/>
  <c r="V19" i="68"/>
  <c r="V25" i="68"/>
  <c r="V36" i="68"/>
  <c r="L54" i="68"/>
  <c r="N20" i="68"/>
  <c r="Q38" i="68"/>
  <c r="Q13" i="68"/>
  <c r="Q39" i="68"/>
  <c r="R39" i="68" s="1"/>
  <c r="T47" i="68"/>
  <c r="M54" i="68"/>
  <c r="R15" i="68"/>
  <c r="R31" i="68"/>
  <c r="T9" i="68"/>
  <c r="T27" i="68"/>
  <c r="E54" i="68"/>
  <c r="N41" i="68"/>
  <c r="T41" i="68"/>
  <c r="V31" i="68"/>
  <c r="R33" i="68"/>
  <c r="R38" i="68"/>
  <c r="V40" i="68"/>
  <c r="Q45" i="68"/>
  <c r="R45" i="68" s="1"/>
  <c r="P47" i="68"/>
  <c r="Q9" i="68"/>
  <c r="R18" i="68"/>
  <c r="R19" i="68"/>
  <c r="R8" i="68"/>
  <c r="P20" i="68"/>
  <c r="R30" i="68"/>
  <c r="R34" i="68"/>
  <c r="Q47" i="68"/>
  <c r="P9" i="68"/>
  <c r="U9" i="68"/>
  <c r="J54" i="68"/>
  <c r="T20" i="68"/>
  <c r="U20" i="68"/>
  <c r="V16" i="68"/>
  <c r="Q17" i="68"/>
  <c r="R17" i="68" s="1"/>
  <c r="N27" i="68"/>
  <c r="Q25" i="68"/>
  <c r="R25" i="68" s="1"/>
  <c r="U27" i="68"/>
  <c r="V26" i="68"/>
  <c r="P41" i="68"/>
  <c r="U41" i="68"/>
  <c r="V32" i="68"/>
  <c r="V35" i="68"/>
  <c r="Q36" i="68"/>
  <c r="V37" i="68"/>
  <c r="R40" i="68"/>
  <c r="R46" i="68"/>
  <c r="V50" i="68"/>
  <c r="V51" i="68" s="1"/>
  <c r="V34" i="68"/>
  <c r="V41" i="68" s="1"/>
  <c r="S47" i="68"/>
  <c r="S27" i="68"/>
  <c r="S20" i="68"/>
  <c r="S54" i="68" s="1"/>
  <c r="I54" i="68"/>
  <c r="K20" i="68"/>
  <c r="K9" i="68"/>
  <c r="G54" i="68"/>
  <c r="R13" i="68"/>
  <c r="R24" i="68"/>
  <c r="R16" i="68"/>
  <c r="Q27" i="68"/>
  <c r="R26" i="68"/>
  <c r="R32" i="68"/>
  <c r="K41" i="68"/>
  <c r="S41" i="68"/>
  <c r="S51" i="68"/>
  <c r="Q12" i="68"/>
  <c r="Q20" i="68" s="1"/>
  <c r="R23" i="68"/>
  <c r="V24" i="68"/>
  <c r="R7" i="68"/>
  <c r="V12" i="68"/>
  <c r="N47" i="68"/>
  <c r="Q50" i="68"/>
  <c r="Q51" i="68" s="1"/>
  <c r="K27" i="68"/>
  <c r="R44" i="68"/>
  <c r="V44" i="68"/>
  <c r="V47" i="68" s="1"/>
  <c r="K32" i="67"/>
  <c r="K31" i="67"/>
  <c r="P31" i="67"/>
  <c r="V20" i="68" l="1"/>
  <c r="Q41" i="68"/>
  <c r="T54" i="68"/>
  <c r="R47" i="68"/>
  <c r="R9" i="68"/>
  <c r="R36" i="68"/>
  <c r="V27" i="68"/>
  <c r="V54" i="68" s="1"/>
  <c r="U54" i="68"/>
  <c r="Q54" i="68"/>
  <c r="N54" i="68"/>
  <c r="P54" i="68"/>
  <c r="R27" i="68"/>
  <c r="K54" i="68"/>
  <c r="R41" i="68"/>
  <c r="R50" i="68"/>
  <c r="R51" i="68" s="1"/>
  <c r="R12" i="68"/>
  <c r="R20" i="68" s="1"/>
  <c r="O51" i="67"/>
  <c r="M51" i="67"/>
  <c r="L51" i="67"/>
  <c r="J51" i="67"/>
  <c r="I51" i="67"/>
  <c r="G51" i="67"/>
  <c r="E51" i="67"/>
  <c r="U50" i="67"/>
  <c r="U51" i="67" s="1"/>
  <c r="T50" i="67"/>
  <c r="T51" i="67" s="1"/>
  <c r="S50" i="67"/>
  <c r="P50" i="67"/>
  <c r="P51" i="67" s="1"/>
  <c r="N50" i="67"/>
  <c r="N51" i="67" s="1"/>
  <c r="K50" i="67"/>
  <c r="K51" i="67" s="1"/>
  <c r="O47" i="67"/>
  <c r="M47" i="67"/>
  <c r="L47" i="67"/>
  <c r="J47" i="67"/>
  <c r="I47" i="67"/>
  <c r="H47" i="67"/>
  <c r="G47" i="67"/>
  <c r="E47" i="67"/>
  <c r="S46" i="67"/>
  <c r="V46" i="67" s="1"/>
  <c r="Q46" i="67"/>
  <c r="K46" i="67"/>
  <c r="U45" i="67"/>
  <c r="T45" i="67"/>
  <c r="S45" i="67"/>
  <c r="V45" i="67" s="1"/>
  <c r="P45" i="67"/>
  <c r="N45" i="67"/>
  <c r="K45" i="67"/>
  <c r="U44" i="67"/>
  <c r="U47" i="67" s="1"/>
  <c r="T44" i="67"/>
  <c r="T47" i="67" s="1"/>
  <c r="S44" i="67"/>
  <c r="P44" i="67"/>
  <c r="Q44" i="67" s="1"/>
  <c r="K44" i="67"/>
  <c r="O41" i="67"/>
  <c r="M41" i="67"/>
  <c r="L41" i="67"/>
  <c r="J41" i="67"/>
  <c r="I41" i="67"/>
  <c r="G41" i="67"/>
  <c r="E41" i="67"/>
  <c r="U40" i="67"/>
  <c r="T40" i="67"/>
  <c r="S40" i="67"/>
  <c r="P40" i="67"/>
  <c r="N40" i="67"/>
  <c r="Q40" i="67" s="1"/>
  <c r="K40" i="67"/>
  <c r="U39" i="67"/>
  <c r="T39" i="67"/>
  <c r="S39" i="67"/>
  <c r="P39" i="67"/>
  <c r="Q39" i="67" s="1"/>
  <c r="N39" i="67"/>
  <c r="K39" i="67"/>
  <c r="U38" i="67"/>
  <c r="T38" i="67"/>
  <c r="S38" i="67"/>
  <c r="P38" i="67"/>
  <c r="N38" i="67"/>
  <c r="K38" i="67"/>
  <c r="U37" i="67"/>
  <c r="T37" i="67"/>
  <c r="S37" i="67"/>
  <c r="P37" i="67"/>
  <c r="N37" i="67"/>
  <c r="K37" i="67"/>
  <c r="U36" i="67"/>
  <c r="T36" i="67"/>
  <c r="S36" i="67"/>
  <c r="P36" i="67"/>
  <c r="N36" i="67"/>
  <c r="K36" i="67"/>
  <c r="U35" i="67"/>
  <c r="T35" i="67"/>
  <c r="S35" i="67"/>
  <c r="P35" i="67"/>
  <c r="N35" i="67"/>
  <c r="K35" i="67"/>
  <c r="U34" i="67"/>
  <c r="T34" i="67"/>
  <c r="S34" i="67"/>
  <c r="P34" i="67"/>
  <c r="N34" i="67"/>
  <c r="Q34" i="67" s="1"/>
  <c r="K34" i="67"/>
  <c r="S33" i="67"/>
  <c r="V33" i="67" s="1"/>
  <c r="N33" i="67"/>
  <c r="Q33" i="67" s="1"/>
  <c r="K33" i="67"/>
  <c r="U32" i="67"/>
  <c r="T32" i="67"/>
  <c r="S32" i="67"/>
  <c r="P32" i="67"/>
  <c r="N32" i="67"/>
  <c r="U31" i="67"/>
  <c r="T31" i="67"/>
  <c r="S31" i="67"/>
  <c r="N31" i="67"/>
  <c r="Q31" i="67" s="1"/>
  <c r="R31" i="67" s="1"/>
  <c r="U30" i="67"/>
  <c r="T30" i="67"/>
  <c r="S30" i="67"/>
  <c r="P30" i="67"/>
  <c r="N30" i="67"/>
  <c r="K30" i="67"/>
  <c r="O27" i="67"/>
  <c r="M27" i="67"/>
  <c r="L27" i="67"/>
  <c r="J27" i="67"/>
  <c r="I27" i="67"/>
  <c r="G27" i="67"/>
  <c r="E27" i="67"/>
  <c r="U26" i="67"/>
  <c r="T26" i="67"/>
  <c r="S26" i="67"/>
  <c r="P26" i="67"/>
  <c r="N26" i="67"/>
  <c r="K26" i="67"/>
  <c r="U25" i="67"/>
  <c r="T25" i="67"/>
  <c r="S25" i="67"/>
  <c r="P25" i="67"/>
  <c r="N25" i="67"/>
  <c r="K25" i="67"/>
  <c r="S24" i="67"/>
  <c r="N24" i="67"/>
  <c r="Q24" i="67" s="1"/>
  <c r="K24" i="67"/>
  <c r="S23" i="67"/>
  <c r="V23" i="67" s="1"/>
  <c r="N23" i="67"/>
  <c r="N27" i="67" s="1"/>
  <c r="K23" i="67"/>
  <c r="O20" i="67"/>
  <c r="M20" i="67"/>
  <c r="L20" i="67"/>
  <c r="J20" i="67"/>
  <c r="I20" i="67"/>
  <c r="G20" i="67"/>
  <c r="E20" i="67"/>
  <c r="U19" i="67"/>
  <c r="T19" i="67"/>
  <c r="S19" i="67"/>
  <c r="V19" i="67" s="1"/>
  <c r="Q19" i="67"/>
  <c r="P19" i="67"/>
  <c r="N19" i="67"/>
  <c r="K19" i="67"/>
  <c r="U18" i="67"/>
  <c r="T18" i="67"/>
  <c r="S18" i="67"/>
  <c r="P18" i="67"/>
  <c r="N18" i="67"/>
  <c r="Q18" i="67" s="1"/>
  <c r="K18" i="67"/>
  <c r="U17" i="67"/>
  <c r="T17" i="67"/>
  <c r="S17" i="67"/>
  <c r="V17" i="67" s="1"/>
  <c r="P17" i="67"/>
  <c r="N17" i="67"/>
  <c r="Q17" i="67" s="1"/>
  <c r="K17" i="67"/>
  <c r="U16" i="67"/>
  <c r="T16" i="67"/>
  <c r="S16" i="67"/>
  <c r="P16" i="67"/>
  <c r="N16" i="67"/>
  <c r="Q16" i="67" s="1"/>
  <c r="K16" i="67"/>
  <c r="U15" i="67"/>
  <c r="T15" i="67"/>
  <c r="S15" i="67"/>
  <c r="V15" i="67" s="1"/>
  <c r="P15" i="67"/>
  <c r="N15" i="67"/>
  <c r="Q15" i="67" s="1"/>
  <c r="K15" i="67"/>
  <c r="U14" i="67"/>
  <c r="T14" i="67"/>
  <c r="S14" i="67"/>
  <c r="P14" i="67"/>
  <c r="N14" i="67"/>
  <c r="K14" i="67"/>
  <c r="U13" i="67"/>
  <c r="T13" i="67"/>
  <c r="S13" i="67"/>
  <c r="P13" i="67"/>
  <c r="N13" i="67"/>
  <c r="Q13" i="67" s="1"/>
  <c r="K13" i="67"/>
  <c r="R13" i="67" s="1"/>
  <c r="U12" i="67"/>
  <c r="T12" i="67"/>
  <c r="S12" i="67"/>
  <c r="P12" i="67"/>
  <c r="P20" i="67" s="1"/>
  <c r="N12" i="67"/>
  <c r="K12" i="67"/>
  <c r="O9" i="67"/>
  <c r="M9" i="67"/>
  <c r="M54" i="67" s="1"/>
  <c r="L9" i="67"/>
  <c r="J9" i="67"/>
  <c r="I9" i="67"/>
  <c r="G9" i="67"/>
  <c r="E9" i="67"/>
  <c r="U8" i="67"/>
  <c r="T8" i="67"/>
  <c r="S8" i="67"/>
  <c r="P8" i="67"/>
  <c r="N8" i="67"/>
  <c r="K8" i="67"/>
  <c r="U7" i="67"/>
  <c r="T7" i="67"/>
  <c r="S7" i="67"/>
  <c r="P7" i="67"/>
  <c r="N7" i="67"/>
  <c r="K7" i="67"/>
  <c r="K47" i="67" l="1"/>
  <c r="V14" i="67"/>
  <c r="U27" i="67"/>
  <c r="V26" i="67"/>
  <c r="P41" i="67"/>
  <c r="Q38" i="67"/>
  <c r="R38" i="67" s="1"/>
  <c r="G54" i="67"/>
  <c r="P9" i="67"/>
  <c r="V7" i="67"/>
  <c r="Q8" i="67"/>
  <c r="R8" i="67" s="1"/>
  <c r="P27" i="67"/>
  <c r="P54" i="67" s="1"/>
  <c r="V30" i="67"/>
  <c r="V34" i="67"/>
  <c r="V36" i="67"/>
  <c r="Q37" i="67"/>
  <c r="R37" i="67" s="1"/>
  <c r="R15" i="67"/>
  <c r="R19" i="67"/>
  <c r="Q23" i="67"/>
  <c r="R23" i="67" s="1"/>
  <c r="O54" i="67"/>
  <c r="K9" i="67"/>
  <c r="T9" i="67"/>
  <c r="U9" i="67"/>
  <c r="U54" i="67" s="1"/>
  <c r="J54" i="67"/>
  <c r="T20" i="67"/>
  <c r="U20" i="67"/>
  <c r="V18" i="67"/>
  <c r="Q26" i="67"/>
  <c r="T41" i="67"/>
  <c r="V31" i="67"/>
  <c r="Q32" i="67"/>
  <c r="R32" i="67" s="1"/>
  <c r="Q35" i="67"/>
  <c r="V38" i="67"/>
  <c r="V40" i="67"/>
  <c r="Q45" i="67"/>
  <c r="R45" i="67" s="1"/>
  <c r="P47" i="67"/>
  <c r="R35" i="67"/>
  <c r="R26" i="67"/>
  <c r="R34" i="67"/>
  <c r="Q47" i="67"/>
  <c r="Q7" i="67"/>
  <c r="Q9" i="67" s="1"/>
  <c r="L54" i="67"/>
  <c r="N20" i="67"/>
  <c r="V13" i="67"/>
  <c r="Q14" i="67"/>
  <c r="R14" i="67" s="1"/>
  <c r="R16" i="67"/>
  <c r="R18" i="67"/>
  <c r="R24" i="67"/>
  <c r="E54" i="67"/>
  <c r="N41" i="67"/>
  <c r="U41" i="67"/>
  <c r="Q36" i="67"/>
  <c r="R36" i="67" s="1"/>
  <c r="V37" i="67"/>
  <c r="R40" i="67"/>
  <c r="R46" i="67"/>
  <c r="V50" i="67"/>
  <c r="V51" i="67" s="1"/>
  <c r="R54" i="68"/>
  <c r="S9" i="67"/>
  <c r="V16" i="67"/>
  <c r="V32" i="67"/>
  <c r="S20" i="67"/>
  <c r="S27" i="67"/>
  <c r="V35" i="67"/>
  <c r="V25" i="67"/>
  <c r="V39" i="67"/>
  <c r="S47" i="67"/>
  <c r="K41" i="67"/>
  <c r="I54" i="67"/>
  <c r="R33" i="67"/>
  <c r="R39" i="67"/>
  <c r="R17" i="67"/>
  <c r="S41" i="67"/>
  <c r="S51" i="67"/>
  <c r="V8" i="67"/>
  <c r="V9" i="67" s="1"/>
  <c r="N9" i="67"/>
  <c r="Q12" i="67"/>
  <c r="V24" i="67"/>
  <c r="Q25" i="67"/>
  <c r="R25" i="67" s="1"/>
  <c r="T27" i="67"/>
  <c r="T54" i="67" s="1"/>
  <c r="V12" i="67"/>
  <c r="K20" i="67"/>
  <c r="N47" i="67"/>
  <c r="Q50" i="67"/>
  <c r="Q51" i="67" s="1"/>
  <c r="K27" i="67"/>
  <c r="Q30" i="67"/>
  <c r="R44" i="67"/>
  <c r="V44" i="67"/>
  <c r="V47" i="67" s="1"/>
  <c r="G41" i="66"/>
  <c r="G27" i="66"/>
  <c r="G20" i="66"/>
  <c r="G9" i="66"/>
  <c r="E47" i="66"/>
  <c r="L41" i="66"/>
  <c r="I41" i="66"/>
  <c r="E41" i="66"/>
  <c r="N7" i="66"/>
  <c r="Q41" i="67" l="1"/>
  <c r="R27" i="67"/>
  <c r="R30" i="67"/>
  <c r="V20" i="67"/>
  <c r="R47" i="67"/>
  <c r="R7" i="67"/>
  <c r="R9" i="67" s="1"/>
  <c r="Q20" i="67"/>
  <c r="V41" i="67"/>
  <c r="V27" i="67"/>
  <c r="S54" i="67"/>
  <c r="K54" i="67"/>
  <c r="R41" i="67"/>
  <c r="R50" i="67"/>
  <c r="R51" i="67" s="1"/>
  <c r="N54" i="67"/>
  <c r="R12" i="67"/>
  <c r="R20" i="67" s="1"/>
  <c r="Q27" i="67"/>
  <c r="Q54" i="67" s="1"/>
  <c r="S44" i="66"/>
  <c r="T44" i="66"/>
  <c r="N45" i="66"/>
  <c r="N47" i="66" s="1"/>
  <c r="U44" i="66"/>
  <c r="U47" i="66" s="1"/>
  <c r="P44" i="66"/>
  <c r="Q44" i="66"/>
  <c r="K44" i="66"/>
  <c r="S33" i="66"/>
  <c r="V33" i="66" s="1"/>
  <c r="N33" i="66"/>
  <c r="K33" i="66"/>
  <c r="N31" i="66"/>
  <c r="N34" i="66"/>
  <c r="N38" i="66"/>
  <c r="O51" i="66"/>
  <c r="M51" i="66"/>
  <c r="L51" i="66"/>
  <c r="J51" i="66"/>
  <c r="I51" i="66"/>
  <c r="G51" i="66"/>
  <c r="E51" i="66"/>
  <c r="U50" i="66"/>
  <c r="U51" i="66" s="1"/>
  <c r="T50" i="66"/>
  <c r="T51" i="66" s="1"/>
  <c r="S50" i="66"/>
  <c r="V50" i="66" s="1"/>
  <c r="V51" i="66" s="1"/>
  <c r="P50" i="66"/>
  <c r="P51" i="66" s="1"/>
  <c r="N50" i="66"/>
  <c r="N51" i="66" s="1"/>
  <c r="K50" i="66"/>
  <c r="K51" i="66" s="1"/>
  <c r="O47" i="66"/>
  <c r="M47" i="66"/>
  <c r="L47" i="66"/>
  <c r="J47" i="66"/>
  <c r="I47" i="66"/>
  <c r="H47" i="66"/>
  <c r="G47" i="66"/>
  <c r="S46" i="66"/>
  <c r="V46" i="66" s="1"/>
  <c r="Q46" i="66"/>
  <c r="K46" i="66"/>
  <c r="R46" i="66" s="1"/>
  <c r="U45" i="66"/>
  <c r="T45" i="66"/>
  <c r="S45" i="66"/>
  <c r="V45" i="66" s="1"/>
  <c r="P45" i="66"/>
  <c r="K45" i="66"/>
  <c r="O41" i="66"/>
  <c r="M41" i="66"/>
  <c r="J41" i="66"/>
  <c r="U40" i="66"/>
  <c r="T40" i="66"/>
  <c r="S40" i="66"/>
  <c r="P40" i="66"/>
  <c r="Q40" i="66" s="1"/>
  <c r="N40" i="66"/>
  <c r="K40" i="66"/>
  <c r="U39" i="66"/>
  <c r="T39" i="66"/>
  <c r="S39" i="66"/>
  <c r="P39" i="66"/>
  <c r="N39" i="66"/>
  <c r="K39" i="66"/>
  <c r="U38" i="66"/>
  <c r="T38" i="66"/>
  <c r="S38" i="66"/>
  <c r="P38" i="66"/>
  <c r="Q38" i="66" s="1"/>
  <c r="K38" i="66"/>
  <c r="U37" i="66"/>
  <c r="T37" i="66"/>
  <c r="S37" i="66"/>
  <c r="P37" i="66"/>
  <c r="N37" i="66"/>
  <c r="K37" i="66"/>
  <c r="U36" i="66"/>
  <c r="T36" i="66"/>
  <c r="S36" i="66"/>
  <c r="P36" i="66"/>
  <c r="N36" i="66"/>
  <c r="K36" i="66"/>
  <c r="U35" i="66"/>
  <c r="T35" i="66"/>
  <c r="S35" i="66"/>
  <c r="P35" i="66"/>
  <c r="N35" i="66"/>
  <c r="Q35" i="66" s="1"/>
  <c r="K35" i="66"/>
  <c r="U34" i="66"/>
  <c r="T34" i="66"/>
  <c r="S34" i="66"/>
  <c r="P34" i="66"/>
  <c r="K34" i="66"/>
  <c r="U32" i="66"/>
  <c r="T32" i="66"/>
  <c r="S32" i="66"/>
  <c r="P32" i="66"/>
  <c r="N32" i="66"/>
  <c r="K32" i="66"/>
  <c r="U31" i="66"/>
  <c r="T31" i="66"/>
  <c r="S31" i="66"/>
  <c r="P31" i="66"/>
  <c r="K31" i="66"/>
  <c r="U30" i="66"/>
  <c r="T30" i="66"/>
  <c r="S30" i="66"/>
  <c r="P30" i="66"/>
  <c r="N30" i="66"/>
  <c r="K30" i="66"/>
  <c r="O27" i="66"/>
  <c r="M27" i="66"/>
  <c r="L27" i="66"/>
  <c r="J27" i="66"/>
  <c r="I27" i="66"/>
  <c r="E27" i="66"/>
  <c r="U26" i="66"/>
  <c r="T26" i="66"/>
  <c r="S26" i="66"/>
  <c r="P26" i="66"/>
  <c r="P27" i="66" s="1"/>
  <c r="N26" i="66"/>
  <c r="K26" i="66"/>
  <c r="U25" i="66"/>
  <c r="T25" i="66"/>
  <c r="S25" i="66"/>
  <c r="P25" i="66"/>
  <c r="N25" i="66"/>
  <c r="Q25" i="66" s="1"/>
  <c r="K25" i="66"/>
  <c r="S24" i="66"/>
  <c r="V24" i="66" s="1"/>
  <c r="N24" i="66"/>
  <c r="Q24" i="66" s="1"/>
  <c r="K24" i="66"/>
  <c r="S23" i="66"/>
  <c r="N23" i="66"/>
  <c r="Q23" i="66" s="1"/>
  <c r="K23" i="66"/>
  <c r="O20" i="66"/>
  <c r="M20" i="66"/>
  <c r="L20" i="66"/>
  <c r="J20" i="66"/>
  <c r="I20" i="66"/>
  <c r="E20" i="66"/>
  <c r="U19" i="66"/>
  <c r="T19" i="66"/>
  <c r="S19" i="66"/>
  <c r="P19" i="66"/>
  <c r="N19" i="66"/>
  <c r="K19" i="66"/>
  <c r="U18" i="66"/>
  <c r="T18" i="66"/>
  <c r="S18" i="66"/>
  <c r="P18" i="66"/>
  <c r="N18" i="66"/>
  <c r="Q18" i="66" s="1"/>
  <c r="K18" i="66"/>
  <c r="U17" i="66"/>
  <c r="T17" i="66"/>
  <c r="S17" i="66"/>
  <c r="P17" i="66"/>
  <c r="N17" i="66"/>
  <c r="K17" i="66"/>
  <c r="U16" i="66"/>
  <c r="T16" i="66"/>
  <c r="S16" i="66"/>
  <c r="P16" i="66"/>
  <c r="N16" i="66"/>
  <c r="Q16" i="66" s="1"/>
  <c r="K16" i="66"/>
  <c r="U15" i="66"/>
  <c r="T15" i="66"/>
  <c r="S15" i="66"/>
  <c r="P15" i="66"/>
  <c r="N15" i="66"/>
  <c r="K15" i="66"/>
  <c r="U14" i="66"/>
  <c r="T14" i="66"/>
  <c r="S14" i="66"/>
  <c r="P14" i="66"/>
  <c r="N14" i="66"/>
  <c r="K14" i="66"/>
  <c r="U13" i="66"/>
  <c r="T13" i="66"/>
  <c r="S13" i="66"/>
  <c r="P13" i="66"/>
  <c r="N13" i="66"/>
  <c r="K13" i="66"/>
  <c r="U12" i="66"/>
  <c r="T12" i="66"/>
  <c r="T20" i="66" s="1"/>
  <c r="S12" i="66"/>
  <c r="P12" i="66"/>
  <c r="N12" i="66"/>
  <c r="Q12" i="66" s="1"/>
  <c r="K12" i="66"/>
  <c r="O9" i="66"/>
  <c r="M9" i="66"/>
  <c r="L9" i="66"/>
  <c r="J9" i="66"/>
  <c r="I9" i="66"/>
  <c r="E9" i="66"/>
  <c r="U8" i="66"/>
  <c r="T8" i="66"/>
  <c r="S8" i="66"/>
  <c r="P8" i="66"/>
  <c r="N8" i="66"/>
  <c r="K8" i="66"/>
  <c r="U7" i="66"/>
  <c r="T7" i="66"/>
  <c r="S7" i="66"/>
  <c r="P7" i="66"/>
  <c r="Q7" i="66" s="1"/>
  <c r="K7" i="66"/>
  <c r="U20" i="66" l="1"/>
  <c r="V15" i="66"/>
  <c r="V19" i="66"/>
  <c r="U27" i="66"/>
  <c r="U54" i="66" s="1"/>
  <c r="J54" i="66"/>
  <c r="Q19" i="66"/>
  <c r="P41" i="66"/>
  <c r="Q36" i="66"/>
  <c r="R36" i="66" s="1"/>
  <c r="Q32" i="66"/>
  <c r="G54" i="66"/>
  <c r="Q8" i="66"/>
  <c r="Q9" i="66" s="1"/>
  <c r="K41" i="66"/>
  <c r="T41" i="66"/>
  <c r="T47" i="66"/>
  <c r="K47" i="66"/>
  <c r="R7" i="66"/>
  <c r="U9" i="66"/>
  <c r="V8" i="66"/>
  <c r="Q30" i="66"/>
  <c r="R30" i="66" s="1"/>
  <c r="N41" i="66"/>
  <c r="U41" i="66"/>
  <c r="P47" i="66"/>
  <c r="V54" i="67"/>
  <c r="R54" i="67"/>
  <c r="V37" i="66"/>
  <c r="S27" i="66"/>
  <c r="S41" i="66"/>
  <c r="V31" i="66"/>
  <c r="S47" i="66"/>
  <c r="V39" i="66"/>
  <c r="R24" i="66"/>
  <c r="L54" i="66"/>
  <c r="N20" i="66"/>
  <c r="T9" i="66"/>
  <c r="M54" i="66"/>
  <c r="P20" i="66"/>
  <c r="R19" i="66"/>
  <c r="V23" i="66"/>
  <c r="V26" i="66"/>
  <c r="V30" i="66"/>
  <c r="Q31" i="66"/>
  <c r="R31" i="66" s="1"/>
  <c r="V7" i="66"/>
  <c r="V9" i="66" s="1"/>
  <c r="I54" i="66"/>
  <c r="Q13" i="66"/>
  <c r="R13" i="66" s="1"/>
  <c r="V16" i="66"/>
  <c r="Q17" i="66"/>
  <c r="V18" i="66"/>
  <c r="K27" i="66"/>
  <c r="R25" i="66"/>
  <c r="V25" i="66"/>
  <c r="Q26" i="66"/>
  <c r="Q27" i="66" s="1"/>
  <c r="V32" i="66"/>
  <c r="Q34" i="66"/>
  <c r="R34" i="66" s="1"/>
  <c r="V35" i="66"/>
  <c r="Q45" i="66"/>
  <c r="Q47" i="66" s="1"/>
  <c r="Q33" i="66"/>
  <c r="R33" i="66" s="1"/>
  <c r="V44" i="66"/>
  <c r="V47" i="66" s="1"/>
  <c r="R44" i="66"/>
  <c r="O54" i="66"/>
  <c r="E54" i="66"/>
  <c r="V13" i="66"/>
  <c r="R32" i="66"/>
  <c r="V34" i="66"/>
  <c r="R40" i="66"/>
  <c r="V40" i="66"/>
  <c r="S20" i="66"/>
  <c r="R16" i="66"/>
  <c r="K20" i="66"/>
  <c r="V14" i="66"/>
  <c r="Q15" i="66"/>
  <c r="R15" i="66" s="1"/>
  <c r="R17" i="66"/>
  <c r="V17" i="66"/>
  <c r="V36" i="66"/>
  <c r="Q37" i="66"/>
  <c r="R37" i="66" s="1"/>
  <c r="V38" i="66"/>
  <c r="Q39" i="66"/>
  <c r="R39" i="66" s="1"/>
  <c r="R23" i="66"/>
  <c r="R45" i="66"/>
  <c r="R18" i="66"/>
  <c r="R35" i="66"/>
  <c r="R38" i="66"/>
  <c r="N9" i="66"/>
  <c r="T27" i="66"/>
  <c r="K9" i="66"/>
  <c r="S9" i="66"/>
  <c r="R12" i="66"/>
  <c r="V12" i="66"/>
  <c r="Q14" i="66"/>
  <c r="N27" i="66"/>
  <c r="Q50" i="66"/>
  <c r="Q51" i="66" s="1"/>
  <c r="S51" i="66"/>
  <c r="P9" i="66"/>
  <c r="M45" i="65"/>
  <c r="P7" i="65"/>
  <c r="P8" i="65"/>
  <c r="P12" i="65"/>
  <c r="P13" i="65"/>
  <c r="P14" i="65"/>
  <c r="P15" i="65"/>
  <c r="P16" i="65"/>
  <c r="P17" i="65"/>
  <c r="P18" i="65"/>
  <c r="P19" i="65"/>
  <c r="P25" i="65"/>
  <c r="P26" i="65"/>
  <c r="P30" i="65"/>
  <c r="P31" i="65"/>
  <c r="P41" i="65" s="1"/>
  <c r="P32" i="65"/>
  <c r="P33" i="65"/>
  <c r="P34" i="65"/>
  <c r="P35" i="65"/>
  <c r="P36" i="65"/>
  <c r="P37" i="65"/>
  <c r="P38" i="65"/>
  <c r="P39" i="65"/>
  <c r="P40" i="65"/>
  <c r="P45" i="65"/>
  <c r="P47" i="65" s="1"/>
  <c r="Q46" i="65"/>
  <c r="P50" i="65"/>
  <c r="P51" i="65" s="1"/>
  <c r="R26" i="66" l="1"/>
  <c r="P9" i="65"/>
  <c r="P54" i="65" s="1"/>
  <c r="R8" i="66"/>
  <c r="P27" i="65"/>
  <c r="P20" i="65"/>
  <c r="R41" i="66"/>
  <c r="R9" i="66"/>
  <c r="Q41" i="66"/>
  <c r="R50" i="66"/>
  <c r="R51" i="66" s="1"/>
  <c r="R47" i="66"/>
  <c r="V41" i="66"/>
  <c r="V27" i="66"/>
  <c r="Q20" i="66"/>
  <c r="V20" i="66"/>
  <c r="T54" i="66"/>
  <c r="P54" i="66"/>
  <c r="R14" i="66"/>
  <c r="R20" i="66" s="1"/>
  <c r="K54" i="66"/>
  <c r="Q54" i="66"/>
  <c r="N54" i="66"/>
  <c r="R27" i="66"/>
  <c r="S54" i="66"/>
  <c r="K16" i="65"/>
  <c r="V54" i="66" l="1"/>
  <c r="R54" i="66"/>
  <c r="K37" i="65"/>
  <c r="K34" i="65"/>
  <c r="K31" i="65"/>
  <c r="K25" i="65"/>
  <c r="T33" i="65"/>
  <c r="S33" i="65"/>
  <c r="T32" i="65"/>
  <c r="K7" i="65"/>
  <c r="M50" i="65"/>
  <c r="M40" i="65"/>
  <c r="M39" i="65"/>
  <c r="M38" i="65"/>
  <c r="M37" i="65"/>
  <c r="M36" i="65"/>
  <c r="M35" i="65"/>
  <c r="M34" i="65"/>
  <c r="M33" i="65"/>
  <c r="M32" i="65"/>
  <c r="M31" i="65"/>
  <c r="M18" i="65"/>
  <c r="M30" i="65"/>
  <c r="M26" i="65"/>
  <c r="M25" i="65"/>
  <c r="M19" i="65"/>
  <c r="N18" i="65"/>
  <c r="Q18" i="65" s="1"/>
  <c r="M17" i="65"/>
  <c r="M16" i="65"/>
  <c r="M15" i="65"/>
  <c r="M13" i="65" l="1"/>
  <c r="N30" i="65" l="1"/>
  <c r="Q30" i="65" s="1"/>
  <c r="N31" i="65"/>
  <c r="Q31" i="65" s="1"/>
  <c r="N45" i="65"/>
  <c r="Q45" i="65" s="1"/>
  <c r="N32" i="65"/>
  <c r="Q32" i="65" s="1"/>
  <c r="N33" i="65"/>
  <c r="Q33" i="65" s="1"/>
  <c r="N34" i="65"/>
  <c r="Q34" i="65" s="1"/>
  <c r="N35" i="65"/>
  <c r="Q35" i="65" s="1"/>
  <c r="N36" i="65"/>
  <c r="Q36" i="65" s="1"/>
  <c r="N37" i="65"/>
  <c r="Q37" i="65" s="1"/>
  <c r="N38" i="65"/>
  <c r="Q38" i="65" s="1"/>
  <c r="N39" i="65"/>
  <c r="Q39" i="65" s="1"/>
  <c r="N40" i="65"/>
  <c r="Q40" i="65" s="1"/>
  <c r="K14" i="65"/>
  <c r="M14" i="65"/>
  <c r="M7" i="65"/>
  <c r="M8" i="65"/>
  <c r="M12" i="65"/>
  <c r="Q41" i="65" l="1"/>
  <c r="K50" i="65"/>
  <c r="K46" i="65"/>
  <c r="K45" i="65"/>
  <c r="K44" i="65"/>
  <c r="K40" i="65"/>
  <c r="K39" i="65"/>
  <c r="K38" i="65"/>
  <c r="K36" i="65"/>
  <c r="K35" i="65"/>
  <c r="K33" i="65"/>
  <c r="K32" i="65"/>
  <c r="K30" i="65"/>
  <c r="K26" i="65"/>
  <c r="K24" i="65"/>
  <c r="K23" i="65"/>
  <c r="K19" i="65"/>
  <c r="K18" i="65"/>
  <c r="K17" i="65"/>
  <c r="K15" i="65"/>
  <c r="K13" i="65"/>
  <c r="K12" i="65"/>
  <c r="K8" i="65"/>
  <c r="N7" i="65" l="1"/>
  <c r="Q7" i="65" s="1"/>
  <c r="O51" i="65"/>
  <c r="M51" i="65"/>
  <c r="L51" i="65"/>
  <c r="J51" i="65"/>
  <c r="I51" i="65"/>
  <c r="G51" i="65"/>
  <c r="E51" i="65"/>
  <c r="U50" i="65"/>
  <c r="U51" i="65" s="1"/>
  <c r="T50" i="65"/>
  <c r="T51" i="65" s="1"/>
  <c r="S50" i="65"/>
  <c r="N50" i="65"/>
  <c r="O47" i="65"/>
  <c r="M47" i="65"/>
  <c r="L47" i="65"/>
  <c r="J47" i="65"/>
  <c r="I47" i="65"/>
  <c r="H47" i="65"/>
  <c r="G47" i="65"/>
  <c r="E47" i="65"/>
  <c r="S46" i="65"/>
  <c r="R46" i="65"/>
  <c r="U45" i="65"/>
  <c r="U47" i="65" s="1"/>
  <c r="T45" i="65"/>
  <c r="T47" i="65" s="1"/>
  <c r="S45" i="65"/>
  <c r="S44" i="65"/>
  <c r="V44" i="65" s="1"/>
  <c r="N44" i="65"/>
  <c r="O41" i="65"/>
  <c r="M41" i="65"/>
  <c r="L41" i="65"/>
  <c r="J41" i="65"/>
  <c r="I41" i="65"/>
  <c r="G41" i="65"/>
  <c r="E41" i="65"/>
  <c r="U40" i="65"/>
  <c r="T40" i="65"/>
  <c r="S40" i="65"/>
  <c r="U39" i="65"/>
  <c r="T39" i="65"/>
  <c r="S39" i="65"/>
  <c r="V39" i="65" s="1"/>
  <c r="U38" i="65"/>
  <c r="T38" i="65"/>
  <c r="S38" i="65"/>
  <c r="U37" i="65"/>
  <c r="T37" i="65"/>
  <c r="S37" i="65"/>
  <c r="U36" i="65"/>
  <c r="T36" i="65"/>
  <c r="S36" i="65"/>
  <c r="U35" i="65"/>
  <c r="T35" i="65"/>
  <c r="S35" i="65"/>
  <c r="U34" i="65"/>
  <c r="T34" i="65"/>
  <c r="S34" i="65"/>
  <c r="U33" i="65"/>
  <c r="U32" i="65"/>
  <c r="S32" i="65"/>
  <c r="U31" i="65"/>
  <c r="T31" i="65"/>
  <c r="S31" i="65"/>
  <c r="U30" i="65"/>
  <c r="T30" i="65"/>
  <c r="S30" i="65"/>
  <c r="V30" i="65" s="1"/>
  <c r="O27" i="65"/>
  <c r="M27" i="65"/>
  <c r="L27" i="65"/>
  <c r="J27" i="65"/>
  <c r="I27" i="65"/>
  <c r="G27" i="65"/>
  <c r="E27" i="65"/>
  <c r="U26" i="65"/>
  <c r="T26" i="65"/>
  <c r="S26" i="65"/>
  <c r="N26" i="65"/>
  <c r="Q26" i="65" s="1"/>
  <c r="U25" i="65"/>
  <c r="U27" i="65" s="1"/>
  <c r="T25" i="65"/>
  <c r="S25" i="65"/>
  <c r="N25" i="65"/>
  <c r="Q25" i="65" s="1"/>
  <c r="S24" i="65"/>
  <c r="V24" i="65" s="1"/>
  <c r="N24" i="65"/>
  <c r="Q24" i="65" s="1"/>
  <c r="S23" i="65"/>
  <c r="V23" i="65" s="1"/>
  <c r="N23" i="65"/>
  <c r="Q23" i="65" s="1"/>
  <c r="O20" i="65"/>
  <c r="M20" i="65"/>
  <c r="L20" i="65"/>
  <c r="J20" i="65"/>
  <c r="I20" i="65"/>
  <c r="G20" i="65"/>
  <c r="E20" i="65"/>
  <c r="U19" i="65"/>
  <c r="T19" i="65"/>
  <c r="S19" i="65"/>
  <c r="N19" i="65"/>
  <c r="Q19" i="65" s="1"/>
  <c r="U18" i="65"/>
  <c r="T18" i="65"/>
  <c r="S18" i="65"/>
  <c r="U17" i="65"/>
  <c r="T17" i="65"/>
  <c r="S17" i="65"/>
  <c r="V17" i="65" s="1"/>
  <c r="N17" i="65"/>
  <c r="Q17" i="65" s="1"/>
  <c r="U16" i="65"/>
  <c r="T16" i="65"/>
  <c r="S16" i="65"/>
  <c r="N16" i="65"/>
  <c r="Q16" i="65" s="1"/>
  <c r="U15" i="65"/>
  <c r="T15" i="65"/>
  <c r="S15" i="65"/>
  <c r="V15" i="65" s="1"/>
  <c r="N15" i="65"/>
  <c r="Q15" i="65" s="1"/>
  <c r="U14" i="65"/>
  <c r="T14" i="65"/>
  <c r="S14" i="65"/>
  <c r="V14" i="65" s="1"/>
  <c r="N14" i="65"/>
  <c r="Q14" i="65" s="1"/>
  <c r="U13" i="65"/>
  <c r="T13" i="65"/>
  <c r="S13" i="65"/>
  <c r="N13" i="65"/>
  <c r="U12" i="65"/>
  <c r="T12" i="65"/>
  <c r="S12" i="65"/>
  <c r="N12" i="65"/>
  <c r="Q12" i="65" s="1"/>
  <c r="O9" i="65"/>
  <c r="M9" i="65"/>
  <c r="L9" i="65"/>
  <c r="J9" i="65"/>
  <c r="I9" i="65"/>
  <c r="G9" i="65"/>
  <c r="E9" i="65"/>
  <c r="U8" i="65"/>
  <c r="T8" i="65"/>
  <c r="S8" i="65"/>
  <c r="N8" i="65"/>
  <c r="Q8" i="65" s="1"/>
  <c r="U7" i="65"/>
  <c r="T7" i="65"/>
  <c r="T9" i="65" s="1"/>
  <c r="S7" i="65"/>
  <c r="Q27" i="65" l="1"/>
  <c r="V32" i="65"/>
  <c r="N51" i="65"/>
  <c r="Q50" i="65"/>
  <c r="Q51" i="65" s="1"/>
  <c r="N47" i="65"/>
  <c r="Q44" i="65"/>
  <c r="Q47" i="65" s="1"/>
  <c r="Q13" i="65"/>
  <c r="Q20" i="65" s="1"/>
  <c r="Q9" i="65"/>
  <c r="V34" i="65"/>
  <c r="V26" i="65"/>
  <c r="V37" i="65"/>
  <c r="O54" i="65"/>
  <c r="U9" i="65"/>
  <c r="T27" i="65"/>
  <c r="V31" i="65"/>
  <c r="V40" i="65"/>
  <c r="I54" i="65"/>
  <c r="R25" i="65"/>
  <c r="N27" i="65"/>
  <c r="R15" i="65"/>
  <c r="R40" i="65"/>
  <c r="V8" i="65"/>
  <c r="J54" i="65"/>
  <c r="S20" i="65"/>
  <c r="T41" i="65"/>
  <c r="R39" i="65"/>
  <c r="E54" i="65"/>
  <c r="L54" i="65"/>
  <c r="T20" i="65"/>
  <c r="R19" i="65"/>
  <c r="V19" i="65"/>
  <c r="R23" i="65"/>
  <c r="K27" i="65"/>
  <c r="V25" i="65"/>
  <c r="V27" i="65" s="1"/>
  <c r="U41" i="65"/>
  <c r="V33" i="65"/>
  <c r="R36" i="65"/>
  <c r="V36" i="65"/>
  <c r="V38" i="65"/>
  <c r="K47" i="65"/>
  <c r="R31" i="65"/>
  <c r="R32" i="65"/>
  <c r="V45" i="65"/>
  <c r="V7" i="65"/>
  <c r="G54" i="65"/>
  <c r="U20" i="65"/>
  <c r="V13" i="65"/>
  <c r="R14" i="65"/>
  <c r="R16" i="65"/>
  <c r="V16" i="65"/>
  <c r="V18" i="65"/>
  <c r="R30" i="65"/>
  <c r="R35" i="65"/>
  <c r="V35" i="65"/>
  <c r="R38" i="65"/>
  <c r="V50" i="65"/>
  <c r="V51" i="65" s="1"/>
  <c r="S27" i="65"/>
  <c r="S47" i="65"/>
  <c r="M54" i="65"/>
  <c r="K20" i="65"/>
  <c r="R26" i="65"/>
  <c r="R34" i="65"/>
  <c r="R7" i="65"/>
  <c r="R37" i="65"/>
  <c r="R18" i="65"/>
  <c r="R33" i="65"/>
  <c r="K51" i="65"/>
  <c r="S51" i="65"/>
  <c r="N9" i="65"/>
  <c r="N20" i="65"/>
  <c r="K9" i="65"/>
  <c r="S9" i="65"/>
  <c r="R12" i="65"/>
  <c r="V12" i="65"/>
  <c r="N41" i="65"/>
  <c r="V46" i="65"/>
  <c r="R24" i="65"/>
  <c r="K41" i="65"/>
  <c r="S41" i="65"/>
  <c r="Q46" i="64"/>
  <c r="N19" i="64"/>
  <c r="Q19" i="64" s="1"/>
  <c r="P19" i="64"/>
  <c r="R13" i="65" l="1"/>
  <c r="U54" i="65"/>
  <c r="Q54" i="65"/>
  <c r="R44" i="65"/>
  <c r="T54" i="65"/>
  <c r="R17" i="65"/>
  <c r="R20" i="65" s="1"/>
  <c r="V20" i="65"/>
  <c r="V47" i="65"/>
  <c r="V41" i="65"/>
  <c r="R45" i="65"/>
  <c r="R8" i="65"/>
  <c r="R9" i="65" s="1"/>
  <c r="V9" i="65"/>
  <c r="R27" i="65"/>
  <c r="N54" i="65"/>
  <c r="S54" i="65"/>
  <c r="K54" i="65"/>
  <c r="R41" i="65"/>
  <c r="R50" i="65"/>
  <c r="R51" i="65" s="1"/>
  <c r="U8" i="64"/>
  <c r="P46" i="61"/>
  <c r="G41" i="64"/>
  <c r="R47" i="65" l="1"/>
  <c r="V54" i="65"/>
  <c r="R54" i="65"/>
  <c r="P7" i="64"/>
  <c r="N7" i="64" l="1"/>
  <c r="Q7" i="64" s="1"/>
  <c r="N45" i="64"/>
  <c r="N38" i="64"/>
  <c r="N34" i="64"/>
  <c r="N31" i="64"/>
  <c r="N30" i="64"/>
  <c r="N18" i="64"/>
  <c r="O51" i="64"/>
  <c r="M51" i="64"/>
  <c r="L51" i="64"/>
  <c r="K51" i="64"/>
  <c r="J51" i="64"/>
  <c r="I51" i="64"/>
  <c r="G51" i="64"/>
  <c r="E51" i="64"/>
  <c r="U50" i="64"/>
  <c r="U51" i="64" s="1"/>
  <c r="T50" i="64"/>
  <c r="T51" i="64" s="1"/>
  <c r="S50" i="64"/>
  <c r="P50" i="64"/>
  <c r="P51" i="64" s="1"/>
  <c r="N50" i="64"/>
  <c r="K50" i="64"/>
  <c r="O47" i="64"/>
  <c r="M47" i="64"/>
  <c r="L47" i="64"/>
  <c r="J47" i="64"/>
  <c r="I47" i="64"/>
  <c r="H47" i="64"/>
  <c r="G47" i="64"/>
  <c r="E47" i="64"/>
  <c r="S46" i="64"/>
  <c r="V46" i="64" s="1"/>
  <c r="K46" i="64"/>
  <c r="R46" i="64" s="1"/>
  <c r="U45" i="64"/>
  <c r="U47" i="64" s="1"/>
  <c r="T45" i="64"/>
  <c r="T47" i="64" s="1"/>
  <c r="S45" i="64"/>
  <c r="P45" i="64"/>
  <c r="P47" i="64" s="1"/>
  <c r="K45" i="64"/>
  <c r="S44" i="64"/>
  <c r="V44" i="64" s="1"/>
  <c r="N44" i="64"/>
  <c r="K44" i="64"/>
  <c r="O41" i="64"/>
  <c r="M41" i="64"/>
  <c r="L41" i="64"/>
  <c r="J41" i="64"/>
  <c r="I41" i="64"/>
  <c r="E41" i="64"/>
  <c r="U40" i="64"/>
  <c r="T40" i="64"/>
  <c r="S40" i="64"/>
  <c r="P40" i="64"/>
  <c r="N40" i="64"/>
  <c r="K40" i="64"/>
  <c r="U39" i="64"/>
  <c r="T39" i="64"/>
  <c r="S39" i="64"/>
  <c r="P39" i="64"/>
  <c r="N39" i="64"/>
  <c r="K39" i="64"/>
  <c r="U38" i="64"/>
  <c r="T38" i="64"/>
  <c r="S38" i="64"/>
  <c r="P38" i="64"/>
  <c r="K38" i="64"/>
  <c r="U37" i="64"/>
  <c r="T37" i="64"/>
  <c r="S37" i="64"/>
  <c r="P37" i="64"/>
  <c r="N37" i="64"/>
  <c r="K37" i="64"/>
  <c r="U36" i="64"/>
  <c r="T36" i="64"/>
  <c r="S36" i="64"/>
  <c r="P36" i="64"/>
  <c r="N36" i="64"/>
  <c r="Q36" i="64" s="1"/>
  <c r="K36" i="64"/>
  <c r="U35" i="64"/>
  <c r="T35" i="64"/>
  <c r="S35" i="64"/>
  <c r="P35" i="64"/>
  <c r="N35" i="64"/>
  <c r="K35" i="64"/>
  <c r="U34" i="64"/>
  <c r="T34" i="64"/>
  <c r="S34" i="64"/>
  <c r="P34" i="64"/>
  <c r="K34" i="64"/>
  <c r="U33" i="64"/>
  <c r="T33" i="64"/>
  <c r="S33" i="64"/>
  <c r="P33" i="64"/>
  <c r="N33" i="64"/>
  <c r="K33" i="64"/>
  <c r="U32" i="64"/>
  <c r="T32" i="64"/>
  <c r="S32" i="64"/>
  <c r="P32" i="64"/>
  <c r="N32" i="64"/>
  <c r="K32" i="64"/>
  <c r="U31" i="64"/>
  <c r="T31" i="64"/>
  <c r="S31" i="64"/>
  <c r="P31" i="64"/>
  <c r="K31" i="64"/>
  <c r="U30" i="64"/>
  <c r="T30" i="64"/>
  <c r="S30" i="64"/>
  <c r="P30" i="64"/>
  <c r="K30" i="64"/>
  <c r="O27" i="64"/>
  <c r="M27" i="64"/>
  <c r="L27" i="64"/>
  <c r="J27" i="64"/>
  <c r="I27" i="64"/>
  <c r="G27" i="64"/>
  <c r="E27" i="64"/>
  <c r="U26" i="64"/>
  <c r="T26" i="64"/>
  <c r="S26" i="64"/>
  <c r="P26" i="64"/>
  <c r="N26" i="64"/>
  <c r="Q26" i="64" s="1"/>
  <c r="K26" i="64"/>
  <c r="U25" i="64"/>
  <c r="T25" i="64"/>
  <c r="S25" i="64"/>
  <c r="P25" i="64"/>
  <c r="N25" i="64"/>
  <c r="Q25" i="64" s="1"/>
  <c r="K25" i="64"/>
  <c r="S24" i="64"/>
  <c r="V24" i="64" s="1"/>
  <c r="N24" i="64"/>
  <c r="Q24" i="64" s="1"/>
  <c r="K24" i="64"/>
  <c r="R24" i="64" s="1"/>
  <c r="S23" i="64"/>
  <c r="N23" i="64"/>
  <c r="K23" i="64"/>
  <c r="O20" i="64"/>
  <c r="M20" i="64"/>
  <c r="L20" i="64"/>
  <c r="J20" i="64"/>
  <c r="I20" i="64"/>
  <c r="G20" i="64"/>
  <c r="E20" i="64"/>
  <c r="U19" i="64"/>
  <c r="T19" i="64"/>
  <c r="S19" i="64"/>
  <c r="K19" i="64"/>
  <c r="R19" i="64" s="1"/>
  <c r="U18" i="64"/>
  <c r="T18" i="64"/>
  <c r="S18" i="64"/>
  <c r="P18" i="64"/>
  <c r="K18" i="64"/>
  <c r="U17" i="64"/>
  <c r="T17" i="64"/>
  <c r="S17" i="64"/>
  <c r="V17" i="64" s="1"/>
  <c r="P17" i="64"/>
  <c r="N17" i="64"/>
  <c r="K17" i="64"/>
  <c r="U16" i="64"/>
  <c r="T16" i="64"/>
  <c r="S16" i="64"/>
  <c r="P16" i="64"/>
  <c r="N16" i="64"/>
  <c r="Q16" i="64" s="1"/>
  <c r="K16" i="64"/>
  <c r="U15" i="64"/>
  <c r="T15" i="64"/>
  <c r="S15" i="64"/>
  <c r="V15" i="64" s="1"/>
  <c r="P15" i="64"/>
  <c r="N15" i="64"/>
  <c r="K15" i="64"/>
  <c r="U14" i="64"/>
  <c r="T14" i="64"/>
  <c r="S14" i="64"/>
  <c r="P14" i="64"/>
  <c r="N14" i="64"/>
  <c r="Q14" i="64" s="1"/>
  <c r="K14" i="64"/>
  <c r="U13" i="64"/>
  <c r="T13" i="64"/>
  <c r="S13" i="64"/>
  <c r="V13" i="64" s="1"/>
  <c r="P13" i="64"/>
  <c r="N13" i="64"/>
  <c r="K13" i="64"/>
  <c r="U12" i="64"/>
  <c r="T12" i="64"/>
  <c r="T20" i="64" s="1"/>
  <c r="S12" i="64"/>
  <c r="P12" i="64"/>
  <c r="N12" i="64"/>
  <c r="Q12" i="64" s="1"/>
  <c r="K12" i="64"/>
  <c r="O9" i="64"/>
  <c r="M9" i="64"/>
  <c r="L9" i="64"/>
  <c r="L54" i="64" s="1"/>
  <c r="J9" i="64"/>
  <c r="J54" i="64" s="1"/>
  <c r="I9" i="64"/>
  <c r="G9" i="64"/>
  <c r="E9" i="64"/>
  <c r="V8" i="64"/>
  <c r="T8" i="64"/>
  <c r="S8" i="64"/>
  <c r="P8" i="64"/>
  <c r="P9" i="64" s="1"/>
  <c r="N8" i="64"/>
  <c r="K8" i="64"/>
  <c r="U7" i="64"/>
  <c r="U9" i="64" s="1"/>
  <c r="T7" i="64"/>
  <c r="T9" i="64" s="1"/>
  <c r="S7" i="64"/>
  <c r="K7" i="64"/>
  <c r="R7" i="64" s="1"/>
  <c r="Q18" i="64" l="1"/>
  <c r="R25" i="64"/>
  <c r="U27" i="64"/>
  <c r="V26" i="64"/>
  <c r="V35" i="64"/>
  <c r="V37" i="64"/>
  <c r="V50" i="64"/>
  <c r="V51" i="64" s="1"/>
  <c r="Q30" i="64"/>
  <c r="Q45" i="64"/>
  <c r="V7" i="64"/>
  <c r="Q8" i="64"/>
  <c r="Q9" i="64" s="1"/>
  <c r="R14" i="64"/>
  <c r="T27" i="64"/>
  <c r="V31" i="64"/>
  <c r="Q32" i="64"/>
  <c r="R32" i="64" s="1"/>
  <c r="V38" i="64"/>
  <c r="Q39" i="64"/>
  <c r="V40" i="64"/>
  <c r="R45" i="64"/>
  <c r="K27" i="64"/>
  <c r="R18" i="64"/>
  <c r="R12" i="64"/>
  <c r="R39" i="64"/>
  <c r="M54" i="64"/>
  <c r="P20" i="64"/>
  <c r="P54" i="64" s="1"/>
  <c r="R13" i="64"/>
  <c r="V18" i="64"/>
  <c r="V19" i="64"/>
  <c r="G54" i="64"/>
  <c r="R26" i="64"/>
  <c r="R30" i="64"/>
  <c r="U41" i="64"/>
  <c r="Q35" i="64"/>
  <c r="R35" i="64" s="1"/>
  <c r="V36" i="64"/>
  <c r="Q37" i="64"/>
  <c r="R37" i="64" s="1"/>
  <c r="K47" i="64"/>
  <c r="Q31" i="64"/>
  <c r="R31" i="64" s="1"/>
  <c r="N41" i="64"/>
  <c r="E54" i="64"/>
  <c r="Q38" i="64"/>
  <c r="U20" i="64"/>
  <c r="U54" i="64" s="1"/>
  <c r="R16" i="64"/>
  <c r="N27" i="64"/>
  <c r="Q23" i="64"/>
  <c r="Q27" i="64" s="1"/>
  <c r="T41" i="64"/>
  <c r="T54" i="64" s="1"/>
  <c r="R8" i="64"/>
  <c r="R9" i="64" s="1"/>
  <c r="Q13" i="64"/>
  <c r="V14" i="64"/>
  <c r="Q15" i="64"/>
  <c r="R15" i="64" s="1"/>
  <c r="V16" i="64"/>
  <c r="Q17" i="64"/>
  <c r="R17" i="64" s="1"/>
  <c r="P27" i="64"/>
  <c r="V32" i="64"/>
  <c r="Q33" i="64"/>
  <c r="R33" i="64" s="1"/>
  <c r="P41" i="64"/>
  <c r="R36" i="64"/>
  <c r="R38" i="64"/>
  <c r="Q40" i="64"/>
  <c r="R40" i="64" s="1"/>
  <c r="N47" i="64"/>
  <c r="Q44" i="64"/>
  <c r="R44" i="64" s="1"/>
  <c r="V45" i="64"/>
  <c r="V47" i="64" s="1"/>
  <c r="N51" i="64"/>
  <c r="Q50" i="64"/>
  <c r="R50" i="64" s="1"/>
  <c r="O54" i="64"/>
  <c r="Q34" i="64"/>
  <c r="R34" i="64" s="1"/>
  <c r="S27" i="64"/>
  <c r="K41" i="64"/>
  <c r="K20" i="64"/>
  <c r="V9" i="64"/>
  <c r="V34" i="64"/>
  <c r="V25" i="64"/>
  <c r="S41" i="64"/>
  <c r="S20" i="64"/>
  <c r="V33" i="64"/>
  <c r="V39" i="64"/>
  <c r="S47" i="64"/>
  <c r="I54" i="64"/>
  <c r="Q20" i="64"/>
  <c r="K9" i="64"/>
  <c r="S9" i="64"/>
  <c r="V12" i="64"/>
  <c r="Q47" i="64"/>
  <c r="N9" i="64"/>
  <c r="N20" i="64"/>
  <c r="S51" i="64"/>
  <c r="V23" i="64"/>
  <c r="Q51" i="64"/>
  <c r="V30" i="64"/>
  <c r="K7" i="63"/>
  <c r="T7" i="63"/>
  <c r="R47" i="64" l="1"/>
  <c r="R23" i="64"/>
  <c r="R27" i="64" s="1"/>
  <c r="V20" i="64"/>
  <c r="Q41" i="64"/>
  <c r="Q54" i="64" s="1"/>
  <c r="R20" i="64"/>
  <c r="V41" i="64"/>
  <c r="V27" i="64"/>
  <c r="K54" i="64"/>
  <c r="S54" i="64"/>
  <c r="N54" i="64"/>
  <c r="R51" i="64"/>
  <c r="R41" i="64"/>
  <c r="R54" i="64" l="1"/>
  <c r="V54" i="64"/>
  <c r="T19" i="63"/>
  <c r="T18" i="63"/>
  <c r="T14" i="63"/>
  <c r="T13" i="63"/>
  <c r="T42" i="63"/>
  <c r="T38" i="63"/>
  <c r="T37" i="63"/>
  <c r="T36" i="63"/>
  <c r="T35" i="63"/>
  <c r="T33" i="63"/>
  <c r="T32" i="63"/>
  <c r="T31" i="63"/>
  <c r="T29" i="63"/>
  <c r="T28" i="63"/>
  <c r="T24" i="63"/>
  <c r="T23" i="63"/>
  <c r="T30" i="63"/>
  <c r="T17" i="63"/>
  <c r="T16" i="63"/>
  <c r="T15" i="63"/>
  <c r="T46" i="63"/>
  <c r="T12" i="63"/>
  <c r="T8" i="63"/>
  <c r="T50" i="62"/>
  <c r="T45" i="62"/>
  <c r="T40" i="62"/>
  <c r="T39" i="62"/>
  <c r="T38" i="62"/>
  <c r="T37" i="62"/>
  <c r="T36" i="62"/>
  <c r="T35" i="62"/>
  <c r="T34" i="62"/>
  <c r="T32" i="62"/>
  <c r="T33" i="62"/>
  <c r="T31" i="62"/>
  <c r="T30" i="62"/>
  <c r="T26" i="62"/>
  <c r="T25" i="62"/>
  <c r="T19" i="62"/>
  <c r="T18" i="62"/>
  <c r="T17" i="62"/>
  <c r="T16" i="62"/>
  <c r="T15" i="62"/>
  <c r="T14" i="62"/>
  <c r="T13" i="62"/>
  <c r="T12" i="62"/>
  <c r="T8" i="62"/>
  <c r="T7" i="62"/>
  <c r="T7" i="61"/>
  <c r="M46" i="63"/>
  <c r="P7" i="62" l="1"/>
  <c r="P7" i="63"/>
  <c r="P45" i="62" l="1"/>
  <c r="Q45" i="62" s="1"/>
  <c r="M30" i="63"/>
  <c r="M42" i="63"/>
  <c r="M38" i="63"/>
  <c r="M37" i="63"/>
  <c r="M36" i="63"/>
  <c r="M35" i="63"/>
  <c r="M34" i="63"/>
  <c r="M33" i="63"/>
  <c r="M32" i="63"/>
  <c r="M31" i="63"/>
  <c r="M29" i="63"/>
  <c r="M28" i="63"/>
  <c r="M24" i="63"/>
  <c r="M23" i="63"/>
  <c r="M14" i="63"/>
  <c r="M13" i="63"/>
  <c r="M19" i="63"/>
  <c r="M18" i="63"/>
  <c r="M17" i="63"/>
  <c r="M16" i="63"/>
  <c r="U43" i="63"/>
  <c r="U46" i="63"/>
  <c r="U47" i="63" s="1"/>
  <c r="U42" i="63"/>
  <c r="U38" i="63"/>
  <c r="U37" i="63"/>
  <c r="U36" i="63"/>
  <c r="U35" i="63"/>
  <c r="U34" i="63"/>
  <c r="U33" i="63"/>
  <c r="U32" i="63"/>
  <c r="U31" i="63"/>
  <c r="U30" i="63"/>
  <c r="U29" i="63"/>
  <c r="U28" i="63"/>
  <c r="U24" i="63"/>
  <c r="U23" i="63"/>
  <c r="U25" i="63" s="1"/>
  <c r="U19" i="63"/>
  <c r="U18" i="63"/>
  <c r="U17" i="63"/>
  <c r="U16" i="63"/>
  <c r="U15" i="63"/>
  <c r="U14" i="63"/>
  <c r="U13" i="63"/>
  <c r="U12" i="63"/>
  <c r="U8" i="63"/>
  <c r="U7" i="63"/>
  <c r="V7" i="63" s="1"/>
  <c r="U9" i="63" l="1"/>
  <c r="U20" i="63"/>
  <c r="U39" i="63"/>
  <c r="U50" i="63"/>
  <c r="P46" i="63"/>
  <c r="P47" i="63" s="1"/>
  <c r="P42" i="63"/>
  <c r="P43" i="63" s="1"/>
  <c r="P38" i="63"/>
  <c r="P37" i="63"/>
  <c r="P36" i="63"/>
  <c r="P35" i="63"/>
  <c r="P34" i="63"/>
  <c r="P33" i="63"/>
  <c r="P32" i="63"/>
  <c r="P31" i="63"/>
  <c r="P30" i="63"/>
  <c r="P29" i="63"/>
  <c r="Q29" i="63" s="1"/>
  <c r="P28" i="63"/>
  <c r="P24" i="63"/>
  <c r="P23" i="63"/>
  <c r="P19" i="63"/>
  <c r="P18" i="63"/>
  <c r="P17" i="63"/>
  <c r="P16" i="63"/>
  <c r="P15" i="63"/>
  <c r="P14" i="63"/>
  <c r="P13" i="63"/>
  <c r="P12" i="63"/>
  <c r="P8" i="63"/>
  <c r="P9" i="63" s="1"/>
  <c r="M7" i="63"/>
  <c r="M15" i="63"/>
  <c r="N15" i="63" s="1"/>
  <c r="M12" i="63"/>
  <c r="M8" i="63"/>
  <c r="N8" i="63" s="1"/>
  <c r="K43" i="63"/>
  <c r="K46" i="63"/>
  <c r="K47" i="63" s="1"/>
  <c r="K42" i="63"/>
  <c r="K30" i="63"/>
  <c r="K31" i="63"/>
  <c r="K32" i="63"/>
  <c r="K33" i="63"/>
  <c r="K34" i="63"/>
  <c r="K35" i="63"/>
  <c r="K36" i="63"/>
  <c r="K37" i="63"/>
  <c r="K38" i="63"/>
  <c r="K29" i="63"/>
  <c r="K28" i="63"/>
  <c r="K24" i="63"/>
  <c r="K23" i="63"/>
  <c r="K25" i="63" s="1"/>
  <c r="K16" i="63"/>
  <c r="K17" i="63"/>
  <c r="K18" i="63"/>
  <c r="K19" i="63"/>
  <c r="K15" i="63"/>
  <c r="K14" i="63"/>
  <c r="K13" i="63"/>
  <c r="K12" i="63"/>
  <c r="K8" i="63"/>
  <c r="K9" i="63" s="1"/>
  <c r="N42" i="63"/>
  <c r="N43" i="63" s="1"/>
  <c r="N29" i="63"/>
  <c r="N30" i="63"/>
  <c r="N31" i="63"/>
  <c r="N32" i="63"/>
  <c r="N33" i="63"/>
  <c r="N34" i="63"/>
  <c r="N35" i="63"/>
  <c r="N36" i="63"/>
  <c r="N37" i="63"/>
  <c r="N38" i="63"/>
  <c r="M25" i="63"/>
  <c r="E43" i="63"/>
  <c r="F43" i="63"/>
  <c r="G43" i="63"/>
  <c r="H43" i="63"/>
  <c r="I43" i="63"/>
  <c r="J43" i="63"/>
  <c r="L43" i="63"/>
  <c r="M43" i="63"/>
  <c r="O43" i="63"/>
  <c r="G25" i="63"/>
  <c r="O47" i="63"/>
  <c r="M47" i="63"/>
  <c r="L47" i="63"/>
  <c r="J47" i="63"/>
  <c r="I47" i="63"/>
  <c r="G47" i="63"/>
  <c r="E47" i="63"/>
  <c r="T47" i="63"/>
  <c r="N46" i="63"/>
  <c r="N47" i="63" s="1"/>
  <c r="T43" i="63"/>
  <c r="S43" i="63"/>
  <c r="O39" i="63"/>
  <c r="M39" i="63"/>
  <c r="L39" i="63"/>
  <c r="J39" i="63"/>
  <c r="I39" i="63"/>
  <c r="G39" i="63"/>
  <c r="E39" i="63"/>
  <c r="Q32" i="63"/>
  <c r="N28" i="63"/>
  <c r="O25" i="63"/>
  <c r="L25" i="63"/>
  <c r="J25" i="63"/>
  <c r="I25" i="63"/>
  <c r="E25" i="63"/>
  <c r="N24" i="63"/>
  <c r="N23" i="63"/>
  <c r="O20" i="63"/>
  <c r="L20" i="63"/>
  <c r="J20" i="63"/>
  <c r="I20" i="63"/>
  <c r="G20" i="63"/>
  <c r="E20" i="63"/>
  <c r="N19" i="63"/>
  <c r="N18" i="63"/>
  <c r="N17" i="63"/>
  <c r="N16" i="63"/>
  <c r="N14" i="63"/>
  <c r="N13" i="63"/>
  <c r="O9" i="63"/>
  <c r="L9" i="63"/>
  <c r="J9" i="63"/>
  <c r="I9" i="63"/>
  <c r="G9" i="63"/>
  <c r="E9" i="63"/>
  <c r="N7" i="63"/>
  <c r="K20" i="63" l="1"/>
  <c r="Q13" i="63"/>
  <c r="M9" i="63"/>
  <c r="Q36" i="63"/>
  <c r="K39" i="63"/>
  <c r="Q42" i="63"/>
  <c r="Q43" i="63" s="1"/>
  <c r="O50" i="63"/>
  <c r="P20" i="63"/>
  <c r="P25" i="63"/>
  <c r="P39" i="63"/>
  <c r="M20" i="63"/>
  <c r="M50" i="63" s="1"/>
  <c r="N12" i="63"/>
  <c r="N20" i="63" s="1"/>
  <c r="Q8" i="63"/>
  <c r="R8" i="63" s="1"/>
  <c r="N9" i="63"/>
  <c r="Q7" i="63"/>
  <c r="R7" i="63" s="1"/>
  <c r="R9" i="63" s="1"/>
  <c r="K50" i="63"/>
  <c r="J50" i="63"/>
  <c r="L50" i="63"/>
  <c r="Q14" i="63"/>
  <c r="R14" i="63" s="1"/>
  <c r="Q18" i="63"/>
  <c r="R18" i="63" s="1"/>
  <c r="S9" i="63"/>
  <c r="V13" i="63"/>
  <c r="Q15" i="63"/>
  <c r="R15" i="63" s="1"/>
  <c r="Q19" i="63"/>
  <c r="R19" i="63" s="1"/>
  <c r="Q17" i="63"/>
  <c r="Q30" i="63"/>
  <c r="R30" i="63" s="1"/>
  <c r="Q37" i="63"/>
  <c r="R37" i="63" s="1"/>
  <c r="V38" i="63"/>
  <c r="Q35" i="63"/>
  <c r="R35" i="63" s="1"/>
  <c r="V19" i="63"/>
  <c r="T39" i="63"/>
  <c r="T25" i="63"/>
  <c r="V18" i="63"/>
  <c r="Q23" i="63"/>
  <c r="R23" i="63" s="1"/>
  <c r="Q38" i="63"/>
  <c r="R38" i="63" s="1"/>
  <c r="V8" i="63"/>
  <c r="R17" i="63"/>
  <c r="N39" i="63"/>
  <c r="V29" i="63"/>
  <c r="V32" i="63"/>
  <c r="Q33" i="63"/>
  <c r="R33" i="63" s="1"/>
  <c r="V34" i="63"/>
  <c r="V35" i="63"/>
  <c r="R42" i="63"/>
  <c r="R43" i="63" s="1"/>
  <c r="V16" i="63"/>
  <c r="V24" i="63"/>
  <c r="V37" i="63"/>
  <c r="V46" i="63"/>
  <c r="V47" i="63" s="1"/>
  <c r="I50" i="63"/>
  <c r="V14" i="63"/>
  <c r="R29" i="63"/>
  <c r="V30" i="63"/>
  <c r="R32" i="63"/>
  <c r="V33" i="63"/>
  <c r="Q34" i="63"/>
  <c r="R34" i="63" s="1"/>
  <c r="R36" i="63"/>
  <c r="V42" i="63"/>
  <c r="V43" i="63" s="1"/>
  <c r="G50" i="63"/>
  <c r="T20" i="63"/>
  <c r="V15" i="63"/>
  <c r="Q16" i="63"/>
  <c r="R16" i="63" s="1"/>
  <c r="V17" i="63"/>
  <c r="V23" i="63"/>
  <c r="Q24" i="63"/>
  <c r="R24" i="63" s="1"/>
  <c r="Q31" i="63"/>
  <c r="R31" i="63" s="1"/>
  <c r="N25" i="63"/>
  <c r="E50" i="63"/>
  <c r="V31" i="63"/>
  <c r="V36" i="63"/>
  <c r="T9" i="63"/>
  <c r="S20" i="63"/>
  <c r="R13" i="63"/>
  <c r="Q28" i="63"/>
  <c r="R28" i="63" s="1"/>
  <c r="V28" i="63"/>
  <c r="S25" i="63"/>
  <c r="S47" i="63"/>
  <c r="V12" i="63"/>
  <c r="Q46" i="63"/>
  <c r="Q47" i="63" s="1"/>
  <c r="S39" i="63"/>
  <c r="S50" i="62"/>
  <c r="S46" i="62"/>
  <c r="S45" i="62"/>
  <c r="S44" i="62"/>
  <c r="S40" i="62"/>
  <c r="S39" i="62"/>
  <c r="S38" i="62"/>
  <c r="S37" i="62"/>
  <c r="S36" i="62"/>
  <c r="S35" i="62"/>
  <c r="S34" i="62"/>
  <c r="S33" i="62"/>
  <c r="S32" i="62"/>
  <c r="S31" i="62"/>
  <c r="S30" i="62"/>
  <c r="S26" i="62"/>
  <c r="S25" i="62"/>
  <c r="S24" i="62"/>
  <c r="S23" i="62"/>
  <c r="S19" i="62"/>
  <c r="S18" i="62"/>
  <c r="S17" i="62"/>
  <c r="S16" i="62"/>
  <c r="S15" i="62"/>
  <c r="S14" i="62"/>
  <c r="S13" i="62"/>
  <c r="S12" i="62"/>
  <c r="R25" i="63" l="1"/>
  <c r="Q12" i="63"/>
  <c r="R12" i="63" s="1"/>
  <c r="R20" i="63" s="1"/>
  <c r="R39" i="63"/>
  <c r="P50" i="63"/>
  <c r="N50" i="63"/>
  <c r="Q9" i="63"/>
  <c r="V9" i="63"/>
  <c r="Q25" i="63"/>
  <c r="T50" i="63"/>
  <c r="Q39" i="63"/>
  <c r="V39" i="63"/>
  <c r="V20" i="63"/>
  <c r="V25" i="63"/>
  <c r="S50" i="63"/>
  <c r="Q20" i="63"/>
  <c r="R46" i="63"/>
  <c r="R47" i="63" s="1"/>
  <c r="R50" i="63" s="1"/>
  <c r="S8" i="62"/>
  <c r="Q50" i="63" l="1"/>
  <c r="V50" i="63"/>
  <c r="U32" i="62"/>
  <c r="V32" i="62"/>
  <c r="P32" i="62"/>
  <c r="N32" i="62"/>
  <c r="Q32" i="62" s="1"/>
  <c r="K32" i="62"/>
  <c r="R32" i="62" l="1"/>
  <c r="S7" i="62" l="1"/>
  <c r="P19" i="62" l="1"/>
  <c r="P18" i="62"/>
  <c r="N19" i="62"/>
  <c r="N18" i="62"/>
  <c r="N18" i="61"/>
  <c r="P18" i="61"/>
  <c r="P14" i="62"/>
  <c r="N17" i="62"/>
  <c r="N16" i="62"/>
  <c r="N15" i="62"/>
  <c r="N14" i="62"/>
  <c r="N13" i="62"/>
  <c r="N7" i="62"/>
  <c r="U13" i="62"/>
  <c r="P12" i="61"/>
  <c r="P8" i="61"/>
  <c r="P7" i="61"/>
  <c r="N8" i="62"/>
  <c r="P9" i="61" l="1"/>
  <c r="I47" i="62"/>
  <c r="I41" i="62"/>
  <c r="S27" i="62" l="1"/>
  <c r="M27" i="62"/>
  <c r="L27" i="62"/>
  <c r="J27" i="62"/>
  <c r="I27" i="62"/>
  <c r="G27" i="62"/>
  <c r="E27" i="62"/>
  <c r="V24" i="62"/>
  <c r="N24" i="62"/>
  <c r="Q24" i="62" s="1"/>
  <c r="K24" i="62"/>
  <c r="S51" i="62"/>
  <c r="P51" i="62"/>
  <c r="O51" i="62"/>
  <c r="M51" i="62"/>
  <c r="L51" i="62"/>
  <c r="J51" i="62"/>
  <c r="I51" i="62"/>
  <c r="G51" i="62"/>
  <c r="E51" i="62"/>
  <c r="U50" i="62"/>
  <c r="U51" i="62" s="1"/>
  <c r="P50" i="62"/>
  <c r="N50" i="62"/>
  <c r="K50" i="62"/>
  <c r="K51" i="62" s="1"/>
  <c r="S47" i="62"/>
  <c r="P47" i="62"/>
  <c r="O47" i="62"/>
  <c r="M47" i="62"/>
  <c r="L47" i="62"/>
  <c r="J47" i="62"/>
  <c r="H47" i="62"/>
  <c r="G47" i="62"/>
  <c r="E47" i="62"/>
  <c r="V46" i="62"/>
  <c r="Q46" i="62"/>
  <c r="K46" i="62"/>
  <c r="R46" i="62" s="1"/>
  <c r="U45" i="62"/>
  <c r="U47" i="62" s="1"/>
  <c r="T47" i="62"/>
  <c r="K45" i="62"/>
  <c r="V44" i="62"/>
  <c r="N44" i="62"/>
  <c r="N47" i="62" s="1"/>
  <c r="K44" i="62"/>
  <c r="S41" i="62"/>
  <c r="O41" i="62"/>
  <c r="M41" i="62"/>
  <c r="L41" i="62"/>
  <c r="J41" i="62"/>
  <c r="G41" i="62"/>
  <c r="E41" i="62"/>
  <c r="U40" i="62"/>
  <c r="P40" i="62"/>
  <c r="N40" i="62"/>
  <c r="K40" i="62"/>
  <c r="U39" i="62"/>
  <c r="V39" i="62"/>
  <c r="P39" i="62"/>
  <c r="N39" i="62"/>
  <c r="K39" i="62"/>
  <c r="U38" i="62"/>
  <c r="V38" i="62"/>
  <c r="P38" i="62"/>
  <c r="Q38" i="62" s="1"/>
  <c r="K38" i="62"/>
  <c r="U37" i="62"/>
  <c r="P37" i="62"/>
  <c r="N37" i="62"/>
  <c r="K37" i="62"/>
  <c r="U36" i="62"/>
  <c r="P36" i="62"/>
  <c r="N36" i="62"/>
  <c r="K36" i="62"/>
  <c r="U35" i="62"/>
  <c r="V35" i="62"/>
  <c r="P35" i="62"/>
  <c r="N35" i="62"/>
  <c r="K35" i="62"/>
  <c r="U34" i="62"/>
  <c r="V34" i="62" s="1"/>
  <c r="P34" i="62"/>
  <c r="Q34" i="62" s="1"/>
  <c r="K34" i="62"/>
  <c r="U33" i="62"/>
  <c r="V33" i="62" s="1"/>
  <c r="P33" i="62"/>
  <c r="N33" i="62"/>
  <c r="K33" i="62"/>
  <c r="U31" i="62"/>
  <c r="V31" i="62" s="1"/>
  <c r="P31" i="62"/>
  <c r="Q31" i="62" s="1"/>
  <c r="K31" i="62"/>
  <c r="R31" i="62" s="1"/>
  <c r="U30" i="62"/>
  <c r="P30" i="62"/>
  <c r="N30" i="62"/>
  <c r="K30" i="62"/>
  <c r="O27" i="62"/>
  <c r="U26" i="62"/>
  <c r="V26" i="62" s="1"/>
  <c r="P26" i="62"/>
  <c r="N26" i="62"/>
  <c r="K26" i="62"/>
  <c r="U25" i="62"/>
  <c r="T27" i="62"/>
  <c r="P25" i="62"/>
  <c r="N25" i="62"/>
  <c r="K25" i="62"/>
  <c r="V23" i="62"/>
  <c r="N23" i="62"/>
  <c r="Q23" i="62" s="1"/>
  <c r="K23" i="62"/>
  <c r="S20" i="62"/>
  <c r="O20" i="62"/>
  <c r="M20" i="62"/>
  <c r="L20" i="62"/>
  <c r="J20" i="62"/>
  <c r="I20" i="62"/>
  <c r="G20" i="62"/>
  <c r="E20" i="62"/>
  <c r="U19" i="62"/>
  <c r="V19" i="62" s="1"/>
  <c r="Q19" i="62"/>
  <c r="K19" i="62"/>
  <c r="U18" i="62"/>
  <c r="Q18" i="62"/>
  <c r="K18" i="62"/>
  <c r="U17" i="62"/>
  <c r="P17" i="62"/>
  <c r="Q17" i="62" s="1"/>
  <c r="K17" i="62"/>
  <c r="U16" i="62"/>
  <c r="V16" i="62" s="1"/>
  <c r="P16" i="62"/>
  <c r="K16" i="62"/>
  <c r="U15" i="62"/>
  <c r="P15" i="62"/>
  <c r="K15" i="62"/>
  <c r="U14" i="62"/>
  <c r="V14" i="62" s="1"/>
  <c r="Q14" i="62"/>
  <c r="K14" i="62"/>
  <c r="V13" i="62"/>
  <c r="P13" i="62"/>
  <c r="Q13" i="62" s="1"/>
  <c r="K13" i="62"/>
  <c r="U12" i="62"/>
  <c r="P12" i="62"/>
  <c r="N12" i="62"/>
  <c r="K12" i="62"/>
  <c r="S9" i="62"/>
  <c r="O9" i="62"/>
  <c r="M9" i="62"/>
  <c r="L9" i="62"/>
  <c r="J9" i="62"/>
  <c r="I9" i="62"/>
  <c r="G9" i="62"/>
  <c r="E9" i="62"/>
  <c r="U8" i="62"/>
  <c r="V8" i="62" s="1"/>
  <c r="P8" i="62"/>
  <c r="Q8" i="62" s="1"/>
  <c r="K8" i="62"/>
  <c r="U7" i="62"/>
  <c r="T9" i="62"/>
  <c r="P9" i="62"/>
  <c r="N9" i="62"/>
  <c r="K7" i="62"/>
  <c r="Q30" i="62" l="1"/>
  <c r="G54" i="62"/>
  <c r="O54" i="62"/>
  <c r="J54" i="62"/>
  <c r="U20" i="62"/>
  <c r="P41" i="62"/>
  <c r="Q33" i="62"/>
  <c r="Q35" i="62"/>
  <c r="R35" i="62" s="1"/>
  <c r="N51" i="62"/>
  <c r="Q50" i="62"/>
  <c r="Q26" i="62"/>
  <c r="K27" i="62"/>
  <c r="Q39" i="62"/>
  <c r="R39" i="62" s="1"/>
  <c r="R45" i="62"/>
  <c r="S54" i="62"/>
  <c r="Q40" i="62"/>
  <c r="R40" i="62" s="1"/>
  <c r="U41" i="62"/>
  <c r="V40" i="62"/>
  <c r="R38" i="62"/>
  <c r="V37" i="62"/>
  <c r="Q37" i="62"/>
  <c r="R37" i="62" s="1"/>
  <c r="Q36" i="62"/>
  <c r="V36" i="62"/>
  <c r="R34" i="62"/>
  <c r="P27" i="62"/>
  <c r="V25" i="62"/>
  <c r="V27" i="62" s="1"/>
  <c r="U27" i="62"/>
  <c r="V18" i="62"/>
  <c r="R17" i="62"/>
  <c r="V17" i="62"/>
  <c r="T20" i="62"/>
  <c r="V15" i="62"/>
  <c r="V50" i="62"/>
  <c r="V51" i="62" s="1"/>
  <c r="R36" i="62"/>
  <c r="R33" i="62"/>
  <c r="N41" i="62"/>
  <c r="N27" i="62"/>
  <c r="R23" i="62"/>
  <c r="R14" i="62"/>
  <c r="M54" i="62"/>
  <c r="N20" i="62"/>
  <c r="V12" i="62"/>
  <c r="R8" i="62"/>
  <c r="U9" i="62"/>
  <c r="V7" i="62"/>
  <c r="V9" i="62" s="1"/>
  <c r="Q7" i="62"/>
  <c r="Q9" i="62" s="1"/>
  <c r="R13" i="62"/>
  <c r="I54" i="62"/>
  <c r="E54" i="62"/>
  <c r="R24" i="62"/>
  <c r="L54" i="62"/>
  <c r="K20" i="62"/>
  <c r="Q16" i="62"/>
  <c r="R16" i="62" s="1"/>
  <c r="R19" i="62"/>
  <c r="R18" i="62"/>
  <c r="P20" i="62"/>
  <c r="Q12" i="62"/>
  <c r="Q15" i="62"/>
  <c r="R15" i="62" s="1"/>
  <c r="R26" i="62"/>
  <c r="T41" i="62"/>
  <c r="K9" i="62"/>
  <c r="Q25" i="62"/>
  <c r="K41" i="62"/>
  <c r="K47" i="62"/>
  <c r="T51" i="62"/>
  <c r="V30" i="62"/>
  <c r="Q44" i="62"/>
  <c r="Q47" i="62" s="1"/>
  <c r="V45" i="62"/>
  <c r="V47" i="62" s="1"/>
  <c r="Q51" i="62"/>
  <c r="U32" i="61"/>
  <c r="T32" i="61"/>
  <c r="V32" i="61" s="1"/>
  <c r="P32" i="61"/>
  <c r="N32" i="61"/>
  <c r="K32" i="61"/>
  <c r="V43" i="61"/>
  <c r="N43" i="61"/>
  <c r="Q43" i="61" s="1"/>
  <c r="K43" i="61"/>
  <c r="Q27" i="62" l="1"/>
  <c r="Q41" i="62"/>
  <c r="R43" i="61"/>
  <c r="Q32" i="61"/>
  <c r="R32" i="61" s="1"/>
  <c r="V41" i="62"/>
  <c r="P54" i="62"/>
  <c r="U54" i="62"/>
  <c r="V20" i="62"/>
  <c r="T54" i="62"/>
  <c r="N54" i="62"/>
  <c r="Q20" i="62"/>
  <c r="Q54" i="62" s="1"/>
  <c r="R12" i="62"/>
  <c r="R20" i="62" s="1"/>
  <c r="R7" i="62"/>
  <c r="R9" i="62" s="1"/>
  <c r="R44" i="62"/>
  <c r="R47" i="62" s="1"/>
  <c r="R50" i="62"/>
  <c r="R51" i="62" s="1"/>
  <c r="R25" i="62"/>
  <c r="R27" i="62" s="1"/>
  <c r="R30" i="62"/>
  <c r="R41" i="62" s="1"/>
  <c r="K54" i="62"/>
  <c r="K14" i="61"/>
  <c r="R14" i="61" s="1"/>
  <c r="S50" i="61"/>
  <c r="O50" i="61"/>
  <c r="M50" i="61"/>
  <c r="L50" i="61"/>
  <c r="J50" i="61"/>
  <c r="I50" i="61"/>
  <c r="G50" i="61"/>
  <c r="E50" i="61"/>
  <c r="U49" i="61"/>
  <c r="U50" i="61" s="1"/>
  <c r="T49" i="61"/>
  <c r="T50" i="61" s="1"/>
  <c r="P49" i="61"/>
  <c r="P50" i="61" s="1"/>
  <c r="N49" i="61"/>
  <c r="N50" i="61" s="1"/>
  <c r="K49" i="61"/>
  <c r="K50" i="61" s="1"/>
  <c r="S46" i="61"/>
  <c r="O46" i="61"/>
  <c r="N46" i="61"/>
  <c r="M46" i="61"/>
  <c r="L46" i="61"/>
  <c r="J46" i="61"/>
  <c r="I46" i="61"/>
  <c r="H46" i="61"/>
  <c r="G46" i="61"/>
  <c r="E46" i="61"/>
  <c r="V45" i="61"/>
  <c r="Q45" i="61"/>
  <c r="K45" i="61"/>
  <c r="U44" i="61"/>
  <c r="T44" i="61"/>
  <c r="Q44" i="61"/>
  <c r="Q46" i="61" s="1"/>
  <c r="K44" i="61"/>
  <c r="U46" i="61"/>
  <c r="T46" i="61"/>
  <c r="S40" i="61"/>
  <c r="O40" i="61"/>
  <c r="M40" i="61"/>
  <c r="L40" i="61"/>
  <c r="J40" i="61"/>
  <c r="I40" i="61"/>
  <c r="G40" i="61"/>
  <c r="E40" i="61"/>
  <c r="U39" i="61"/>
  <c r="T39" i="61"/>
  <c r="P39" i="61"/>
  <c r="N39" i="61"/>
  <c r="K39" i="61"/>
  <c r="U38" i="61"/>
  <c r="T38" i="61"/>
  <c r="V38" i="61" s="1"/>
  <c r="P38" i="61"/>
  <c r="N38" i="61"/>
  <c r="Q38" i="61" s="1"/>
  <c r="K38" i="61"/>
  <c r="U37" i="61"/>
  <c r="T37" i="61"/>
  <c r="P37" i="61"/>
  <c r="Q37" i="61" s="1"/>
  <c r="K37" i="61"/>
  <c r="U36" i="61"/>
  <c r="T36" i="61"/>
  <c r="V36" i="61" s="1"/>
  <c r="Q36" i="61"/>
  <c r="P36" i="61"/>
  <c r="N36" i="61"/>
  <c r="K36" i="61"/>
  <c r="V35" i="61"/>
  <c r="U35" i="61"/>
  <c r="T35" i="61"/>
  <c r="P35" i="61"/>
  <c r="N35" i="61"/>
  <c r="K35" i="61"/>
  <c r="U34" i="61"/>
  <c r="T34" i="61"/>
  <c r="P34" i="61"/>
  <c r="N34" i="61"/>
  <c r="K34" i="61"/>
  <c r="U33" i="61"/>
  <c r="T33" i="61"/>
  <c r="V33" i="61" s="1"/>
  <c r="P33" i="61"/>
  <c r="Q33" i="61" s="1"/>
  <c r="K33" i="61"/>
  <c r="V31" i="61"/>
  <c r="U31" i="61"/>
  <c r="T31" i="61"/>
  <c r="P31" i="61"/>
  <c r="N31" i="61"/>
  <c r="K31" i="61"/>
  <c r="U30" i="61"/>
  <c r="T30" i="61"/>
  <c r="P30" i="61"/>
  <c r="Q30" i="61" s="1"/>
  <c r="K30" i="61"/>
  <c r="U29" i="61"/>
  <c r="T29" i="61"/>
  <c r="V29" i="61" s="1"/>
  <c r="P29" i="61"/>
  <c r="N29" i="61"/>
  <c r="K29" i="61"/>
  <c r="S26" i="61"/>
  <c r="O26" i="61"/>
  <c r="M26" i="61"/>
  <c r="L26" i="61"/>
  <c r="J26" i="61"/>
  <c r="I26" i="61"/>
  <c r="G26" i="61"/>
  <c r="E26" i="61"/>
  <c r="U25" i="61"/>
  <c r="T25" i="61"/>
  <c r="V25" i="61" s="1"/>
  <c r="P25" i="61"/>
  <c r="N25" i="61"/>
  <c r="Q25" i="61" s="1"/>
  <c r="K25" i="61"/>
  <c r="U24" i="61"/>
  <c r="T24" i="61"/>
  <c r="P24" i="61"/>
  <c r="P26" i="61" s="1"/>
  <c r="N24" i="61"/>
  <c r="Q24" i="61" s="1"/>
  <c r="K24" i="61"/>
  <c r="V23" i="61"/>
  <c r="N23" i="61"/>
  <c r="Q23" i="61" s="1"/>
  <c r="K23" i="61"/>
  <c r="S20" i="61"/>
  <c r="O20" i="61"/>
  <c r="M20" i="61"/>
  <c r="L20" i="61"/>
  <c r="J20" i="61"/>
  <c r="I20" i="61"/>
  <c r="G20" i="61"/>
  <c r="E20" i="61"/>
  <c r="U19" i="61"/>
  <c r="T19" i="61"/>
  <c r="V19" i="61" s="1"/>
  <c r="P19" i="61"/>
  <c r="Q19" i="61" s="1"/>
  <c r="N19" i="61"/>
  <c r="K19" i="61"/>
  <c r="U18" i="61"/>
  <c r="V18" i="61" s="1"/>
  <c r="T18" i="61"/>
  <c r="Q18" i="61"/>
  <c r="K18" i="61"/>
  <c r="R18" i="61" s="1"/>
  <c r="U17" i="61"/>
  <c r="T17" i="61"/>
  <c r="P17" i="61"/>
  <c r="Q17" i="61" s="1"/>
  <c r="K17" i="61"/>
  <c r="V16" i="61"/>
  <c r="U16" i="61"/>
  <c r="T16" i="61"/>
  <c r="P16" i="61"/>
  <c r="N16" i="61"/>
  <c r="K16" i="61"/>
  <c r="U15" i="61"/>
  <c r="T15" i="61"/>
  <c r="P15" i="61"/>
  <c r="N15" i="61"/>
  <c r="K15" i="61"/>
  <c r="U14" i="61"/>
  <c r="T14" i="61"/>
  <c r="V14" i="61" s="1"/>
  <c r="Q14" i="61"/>
  <c r="U13" i="61"/>
  <c r="T13" i="61"/>
  <c r="V13" i="61" s="1"/>
  <c r="Q13" i="61"/>
  <c r="P13" i="61"/>
  <c r="K13" i="61"/>
  <c r="U12" i="61"/>
  <c r="T12" i="61"/>
  <c r="N12" i="61"/>
  <c r="K12" i="61"/>
  <c r="S9" i="61"/>
  <c r="O9" i="61"/>
  <c r="M9" i="61"/>
  <c r="L9" i="61"/>
  <c r="J9" i="61"/>
  <c r="I9" i="61"/>
  <c r="G9" i="61"/>
  <c r="E9" i="61"/>
  <c r="U8" i="61"/>
  <c r="T8" i="61"/>
  <c r="N8" i="61"/>
  <c r="Q8" i="61" s="1"/>
  <c r="K8" i="61"/>
  <c r="U7" i="61"/>
  <c r="V7" i="61" s="1"/>
  <c r="N7" i="61"/>
  <c r="N9" i="61" s="1"/>
  <c r="K7" i="61"/>
  <c r="Q31" i="61" l="1"/>
  <c r="Q7" i="61"/>
  <c r="Q9" i="61" s="1"/>
  <c r="U20" i="61"/>
  <c r="Q16" i="61"/>
  <c r="R16" i="61" s="1"/>
  <c r="Q26" i="61"/>
  <c r="R33" i="61"/>
  <c r="G53" i="61"/>
  <c r="V30" i="61"/>
  <c r="V40" i="61" s="1"/>
  <c r="R8" i="61"/>
  <c r="Q35" i="61"/>
  <c r="M53" i="61"/>
  <c r="R13" i="61"/>
  <c r="V15" i="61"/>
  <c r="R17" i="61"/>
  <c r="V34" i="61"/>
  <c r="V44" i="61"/>
  <c r="V8" i="61"/>
  <c r="N20" i="61"/>
  <c r="Q15" i="61"/>
  <c r="V17" i="61"/>
  <c r="R30" i="61"/>
  <c r="Q34" i="61"/>
  <c r="V39" i="61"/>
  <c r="R44" i="61"/>
  <c r="R37" i="61"/>
  <c r="R19" i="61"/>
  <c r="R23" i="61"/>
  <c r="T26" i="61"/>
  <c r="N40" i="61"/>
  <c r="R36" i="61"/>
  <c r="V49" i="61"/>
  <c r="V50" i="61" s="1"/>
  <c r="K9" i="61"/>
  <c r="T9" i="61"/>
  <c r="J53" i="61"/>
  <c r="O53" i="61"/>
  <c r="Q12" i="61"/>
  <c r="U26" i="61"/>
  <c r="P40" i="61"/>
  <c r="R35" i="61"/>
  <c r="R45" i="61"/>
  <c r="Q49" i="61"/>
  <c r="Q50" i="61" s="1"/>
  <c r="V9" i="61"/>
  <c r="R25" i="61"/>
  <c r="V12" i="61"/>
  <c r="R24" i="61"/>
  <c r="N26" i="61"/>
  <c r="N53" i="61" s="1"/>
  <c r="U40" i="61"/>
  <c r="U53" i="61" s="1"/>
  <c r="U9" i="61"/>
  <c r="L53" i="61"/>
  <c r="S53" i="61"/>
  <c r="T20" i="61"/>
  <c r="P20" i="61"/>
  <c r="R15" i="61"/>
  <c r="V24" i="61"/>
  <c r="V26" i="61" s="1"/>
  <c r="Q29" i="61"/>
  <c r="R34" i="61"/>
  <c r="V37" i="61"/>
  <c r="Q39" i="61"/>
  <c r="R39" i="61" s="1"/>
  <c r="V54" i="62"/>
  <c r="R54" i="62"/>
  <c r="E53" i="61"/>
  <c r="K20" i="61"/>
  <c r="K40" i="61"/>
  <c r="I53" i="61"/>
  <c r="R38" i="61"/>
  <c r="R7" i="61"/>
  <c r="R9" i="61" s="1"/>
  <c r="R31" i="61"/>
  <c r="K26" i="61"/>
  <c r="V46" i="61"/>
  <c r="K46" i="61"/>
  <c r="R49" i="61"/>
  <c r="R50" i="61" s="1"/>
  <c r="T40" i="61"/>
  <c r="R12" i="61"/>
  <c r="K43" i="60"/>
  <c r="R26" i="61" l="1"/>
  <c r="Q20" i="61"/>
  <c r="V20" i="61"/>
  <c r="V53" i="61" s="1"/>
  <c r="Q40" i="61"/>
  <c r="Q53" i="61" s="1"/>
  <c r="R20" i="61"/>
  <c r="T53" i="61"/>
  <c r="P53" i="61"/>
  <c r="R29" i="61"/>
  <c r="R40" i="61" s="1"/>
  <c r="K53" i="61"/>
  <c r="R46" i="61"/>
  <c r="T43" i="60"/>
  <c r="R53" i="61" l="1"/>
  <c r="K25" i="60"/>
  <c r="K39" i="60"/>
  <c r="K37" i="60"/>
  <c r="I40" i="60" l="1"/>
  <c r="N23" i="60"/>
  <c r="G26" i="60" l="1"/>
  <c r="S50" i="60"/>
  <c r="O50" i="60"/>
  <c r="M50" i="60"/>
  <c r="L50" i="60"/>
  <c r="J50" i="60"/>
  <c r="I50" i="60"/>
  <c r="G50" i="60"/>
  <c r="E50" i="60"/>
  <c r="U49" i="60"/>
  <c r="T49" i="60"/>
  <c r="T50" i="60" s="1"/>
  <c r="P49" i="60"/>
  <c r="Q49" i="60" s="1"/>
  <c r="Q50" i="60" s="1"/>
  <c r="N49" i="60"/>
  <c r="N50" i="60" s="1"/>
  <c r="K49" i="60"/>
  <c r="K50" i="60" s="1"/>
  <c r="S46" i="60"/>
  <c r="O46" i="60"/>
  <c r="N46" i="60"/>
  <c r="M46" i="60"/>
  <c r="L46" i="60"/>
  <c r="J46" i="60"/>
  <c r="I46" i="60"/>
  <c r="H46" i="60"/>
  <c r="G46" i="60"/>
  <c r="E46" i="60"/>
  <c r="V45" i="60"/>
  <c r="Q45" i="60"/>
  <c r="K45" i="60"/>
  <c r="U44" i="60"/>
  <c r="T44" i="60"/>
  <c r="K44" i="60"/>
  <c r="U43" i="60"/>
  <c r="P43" i="60"/>
  <c r="Q43" i="60" s="1"/>
  <c r="S40" i="60"/>
  <c r="O40" i="60"/>
  <c r="M40" i="60"/>
  <c r="L40" i="60"/>
  <c r="J40" i="60"/>
  <c r="G40" i="60"/>
  <c r="E40" i="60"/>
  <c r="U39" i="60"/>
  <c r="T39" i="60"/>
  <c r="P39" i="60"/>
  <c r="N39" i="60"/>
  <c r="U38" i="60"/>
  <c r="T38" i="60"/>
  <c r="P38" i="60"/>
  <c r="N38" i="60"/>
  <c r="K38" i="60"/>
  <c r="U37" i="60"/>
  <c r="T37" i="60"/>
  <c r="V37" i="60" s="1"/>
  <c r="P37" i="60"/>
  <c r="Q37" i="60" s="1"/>
  <c r="U36" i="60"/>
  <c r="T36" i="60"/>
  <c r="P36" i="60"/>
  <c r="N36" i="60"/>
  <c r="K36" i="60"/>
  <c r="U35" i="60"/>
  <c r="T35" i="60"/>
  <c r="P35" i="60"/>
  <c r="N35" i="60"/>
  <c r="K35" i="60"/>
  <c r="U34" i="60"/>
  <c r="T34" i="60"/>
  <c r="P34" i="60"/>
  <c r="N34" i="60"/>
  <c r="K34" i="60"/>
  <c r="U33" i="60"/>
  <c r="T33" i="60"/>
  <c r="P33" i="60"/>
  <c r="Q33" i="60" s="1"/>
  <c r="K33" i="60"/>
  <c r="N32" i="60"/>
  <c r="K32" i="60"/>
  <c r="U31" i="60"/>
  <c r="T31" i="60"/>
  <c r="P31" i="60"/>
  <c r="N31" i="60"/>
  <c r="K31" i="60"/>
  <c r="U30" i="60"/>
  <c r="T30" i="60"/>
  <c r="P30" i="60"/>
  <c r="Q30" i="60" s="1"/>
  <c r="K30" i="60"/>
  <c r="U29" i="60"/>
  <c r="T29" i="60"/>
  <c r="P29" i="60"/>
  <c r="N29" i="60"/>
  <c r="K29" i="60"/>
  <c r="S26" i="60"/>
  <c r="O26" i="60"/>
  <c r="M26" i="60"/>
  <c r="L26" i="60"/>
  <c r="J26" i="60"/>
  <c r="I26" i="60"/>
  <c r="E26" i="60"/>
  <c r="U25" i="60"/>
  <c r="T25" i="60"/>
  <c r="P25" i="60"/>
  <c r="N25" i="60"/>
  <c r="U24" i="60"/>
  <c r="T24" i="60"/>
  <c r="P24" i="60"/>
  <c r="N24" i="60"/>
  <c r="K24" i="60"/>
  <c r="Q23" i="60"/>
  <c r="K23" i="60"/>
  <c r="S20" i="60"/>
  <c r="O20" i="60"/>
  <c r="M20" i="60"/>
  <c r="L20" i="60"/>
  <c r="J20" i="60"/>
  <c r="I20" i="60"/>
  <c r="G20" i="60"/>
  <c r="E20" i="60"/>
  <c r="U19" i="60"/>
  <c r="T19" i="60"/>
  <c r="V19" i="60" s="1"/>
  <c r="P19" i="60"/>
  <c r="N19" i="60"/>
  <c r="K19" i="60"/>
  <c r="U18" i="60"/>
  <c r="T18" i="60"/>
  <c r="P18" i="60"/>
  <c r="N18" i="60"/>
  <c r="K18" i="60"/>
  <c r="U17" i="60"/>
  <c r="T17" i="60"/>
  <c r="P17" i="60"/>
  <c r="Q17" i="60" s="1"/>
  <c r="K17" i="60"/>
  <c r="U16" i="60"/>
  <c r="T16" i="60"/>
  <c r="P16" i="60"/>
  <c r="N16" i="60"/>
  <c r="K16" i="60"/>
  <c r="U15" i="60"/>
  <c r="T15" i="60"/>
  <c r="P15" i="60"/>
  <c r="N15" i="60"/>
  <c r="K15" i="60"/>
  <c r="U14" i="60"/>
  <c r="T14" i="60"/>
  <c r="Q14" i="60"/>
  <c r="K14" i="60"/>
  <c r="U13" i="60"/>
  <c r="T13" i="60"/>
  <c r="P13" i="60"/>
  <c r="Q13" i="60" s="1"/>
  <c r="K13" i="60"/>
  <c r="U12" i="60"/>
  <c r="T12" i="60"/>
  <c r="P12" i="60"/>
  <c r="N12" i="60"/>
  <c r="K12" i="60"/>
  <c r="S9" i="60"/>
  <c r="O9" i="60"/>
  <c r="M9" i="60"/>
  <c r="L9" i="60"/>
  <c r="J9" i="60"/>
  <c r="I9" i="60"/>
  <c r="G9" i="60"/>
  <c r="E9" i="60"/>
  <c r="U8" i="60"/>
  <c r="T8" i="60"/>
  <c r="P8" i="60"/>
  <c r="N8" i="60"/>
  <c r="K8" i="60"/>
  <c r="U7" i="60"/>
  <c r="T7" i="60"/>
  <c r="P7" i="60"/>
  <c r="N7" i="60"/>
  <c r="K7" i="60"/>
  <c r="K9" i="60" l="1"/>
  <c r="V8" i="60"/>
  <c r="Q12" i="60"/>
  <c r="R13" i="60"/>
  <c r="N20" i="60"/>
  <c r="V16" i="60"/>
  <c r="Q38" i="60"/>
  <c r="Q39" i="60"/>
  <c r="R39" i="60" s="1"/>
  <c r="Q7" i="60"/>
  <c r="N9" i="60"/>
  <c r="V14" i="60"/>
  <c r="R29" i="60"/>
  <c r="V34" i="60"/>
  <c r="Q36" i="60"/>
  <c r="V49" i="60"/>
  <c r="V50" i="60" s="1"/>
  <c r="T20" i="60"/>
  <c r="V18" i="60"/>
  <c r="T9" i="60"/>
  <c r="Q19" i="60"/>
  <c r="N26" i="60"/>
  <c r="Q24" i="60"/>
  <c r="Q29" i="60"/>
  <c r="V39" i="60"/>
  <c r="K20" i="60"/>
  <c r="L53" i="60"/>
  <c r="O53" i="60"/>
  <c r="I53" i="60"/>
  <c r="V43" i="60"/>
  <c r="U9" i="60"/>
  <c r="J53" i="60"/>
  <c r="V13" i="60"/>
  <c r="V17" i="60"/>
  <c r="S53" i="60"/>
  <c r="V33" i="60"/>
  <c r="Q35" i="60"/>
  <c r="R45" i="60"/>
  <c r="Q8" i="60"/>
  <c r="Q9" i="60" s="1"/>
  <c r="P9" i="60"/>
  <c r="V12" i="60"/>
  <c r="V7" i="60"/>
  <c r="V9" i="60" s="1"/>
  <c r="M53" i="60"/>
  <c r="R14" i="60"/>
  <c r="V15" i="60"/>
  <c r="Q18" i="60"/>
  <c r="R18" i="60" s="1"/>
  <c r="V23" i="60"/>
  <c r="Q25" i="60"/>
  <c r="R25" i="60" s="1"/>
  <c r="E53" i="60"/>
  <c r="R30" i="60"/>
  <c r="V31" i="60"/>
  <c r="R33" i="60"/>
  <c r="V35" i="60"/>
  <c r="R38" i="60"/>
  <c r="V38" i="60"/>
  <c r="U20" i="60"/>
  <c r="Q15" i="60"/>
  <c r="R17" i="60"/>
  <c r="U26" i="60"/>
  <c r="V24" i="60"/>
  <c r="P40" i="60"/>
  <c r="V32" i="60"/>
  <c r="Q34" i="60"/>
  <c r="R34" i="60" s="1"/>
  <c r="V36" i="60"/>
  <c r="U46" i="60"/>
  <c r="P20" i="60"/>
  <c r="Q16" i="60"/>
  <c r="R19" i="60"/>
  <c r="V25" i="60"/>
  <c r="V29" i="60"/>
  <c r="Q31" i="60"/>
  <c r="R31" i="60" s="1"/>
  <c r="U40" i="60"/>
  <c r="V30" i="60"/>
  <c r="Q32" i="60"/>
  <c r="R32" i="60" s="1"/>
  <c r="V44" i="60"/>
  <c r="R37" i="60"/>
  <c r="R16" i="60"/>
  <c r="G53" i="60"/>
  <c r="V20" i="60"/>
  <c r="R36" i="60"/>
  <c r="R43" i="60"/>
  <c r="R23" i="60"/>
  <c r="K26" i="60"/>
  <c r="R49" i="60"/>
  <c r="R50" i="60" s="1"/>
  <c r="R7" i="60"/>
  <c r="R12" i="60"/>
  <c r="P26" i="60"/>
  <c r="T26" i="60"/>
  <c r="K40" i="60"/>
  <c r="Q44" i="60"/>
  <c r="R44" i="60" s="1"/>
  <c r="T46" i="60"/>
  <c r="P50" i="60"/>
  <c r="N40" i="60"/>
  <c r="T40" i="60"/>
  <c r="U50" i="60"/>
  <c r="K46" i="60"/>
  <c r="R8" i="60" l="1"/>
  <c r="Q20" i="60"/>
  <c r="N53" i="60"/>
  <c r="R9" i="60"/>
  <c r="R15" i="60"/>
  <c r="R20" i="60"/>
  <c r="R46" i="60"/>
  <c r="V46" i="60"/>
  <c r="V26" i="60"/>
  <c r="U53" i="60"/>
  <c r="Q40" i="60"/>
  <c r="T53" i="60"/>
  <c r="P46" i="60"/>
  <c r="P53" i="60" s="1"/>
  <c r="Q46" i="60"/>
  <c r="V40" i="60"/>
  <c r="Q26" i="60"/>
  <c r="R35" i="60"/>
  <c r="R40" i="60" s="1"/>
  <c r="R24" i="60"/>
  <c r="R26" i="60" s="1"/>
  <c r="K53" i="60"/>
  <c r="G46" i="59"/>
  <c r="E46" i="59"/>
  <c r="L46" i="59"/>
  <c r="M46" i="59"/>
  <c r="N46" i="59"/>
  <c r="H46" i="59"/>
  <c r="I46" i="59"/>
  <c r="J46" i="59"/>
  <c r="O46" i="59"/>
  <c r="S46" i="59"/>
  <c r="V45" i="59"/>
  <c r="K45" i="59"/>
  <c r="Q45" i="59" s="1"/>
  <c r="R45" i="59" s="1"/>
  <c r="S50" i="59"/>
  <c r="O50" i="59"/>
  <c r="M50" i="59"/>
  <c r="L50" i="59"/>
  <c r="J50" i="59"/>
  <c r="I50" i="59"/>
  <c r="G50" i="59"/>
  <c r="E50" i="59"/>
  <c r="U49" i="59"/>
  <c r="U50" i="59" s="1"/>
  <c r="T49" i="59"/>
  <c r="P49" i="59"/>
  <c r="P50" i="59" s="1"/>
  <c r="N49" i="59"/>
  <c r="N50" i="59" s="1"/>
  <c r="K49" i="59"/>
  <c r="K50" i="59" s="1"/>
  <c r="U44" i="59"/>
  <c r="T44" i="59"/>
  <c r="K44" i="59"/>
  <c r="U43" i="59"/>
  <c r="T43" i="59"/>
  <c r="T46" i="59" s="1"/>
  <c r="P43" i="59"/>
  <c r="Q43" i="59" s="1"/>
  <c r="K43" i="59"/>
  <c r="K46" i="59" s="1"/>
  <c r="S40" i="59"/>
  <c r="O40" i="59"/>
  <c r="M40" i="59"/>
  <c r="L40" i="59"/>
  <c r="J40" i="59"/>
  <c r="I40" i="59"/>
  <c r="G40" i="59"/>
  <c r="E40" i="59"/>
  <c r="U39" i="59"/>
  <c r="T39" i="59"/>
  <c r="P39" i="59"/>
  <c r="N39" i="59"/>
  <c r="Q39" i="59" s="1"/>
  <c r="K39" i="59"/>
  <c r="U38" i="59"/>
  <c r="T38" i="59"/>
  <c r="P38" i="59"/>
  <c r="N38" i="59"/>
  <c r="K38" i="59"/>
  <c r="U37" i="59"/>
  <c r="T37" i="59"/>
  <c r="V37" i="59" s="1"/>
  <c r="P37" i="59"/>
  <c r="Q37" i="59" s="1"/>
  <c r="R37" i="59" s="1"/>
  <c r="K37" i="59"/>
  <c r="U36" i="59"/>
  <c r="T36" i="59"/>
  <c r="V36" i="59" s="1"/>
  <c r="P36" i="59"/>
  <c r="N36" i="59"/>
  <c r="K36" i="59"/>
  <c r="U35" i="59"/>
  <c r="T35" i="59"/>
  <c r="P35" i="59"/>
  <c r="N35" i="59"/>
  <c r="K35" i="59"/>
  <c r="U34" i="59"/>
  <c r="T34" i="59"/>
  <c r="P34" i="59"/>
  <c r="N34" i="59"/>
  <c r="Q34" i="59" s="1"/>
  <c r="K34" i="59"/>
  <c r="U33" i="59"/>
  <c r="T33" i="59"/>
  <c r="P33" i="59"/>
  <c r="Q33" i="59" s="1"/>
  <c r="K33" i="59"/>
  <c r="U32" i="59"/>
  <c r="T32" i="59"/>
  <c r="P32" i="59"/>
  <c r="N32" i="59"/>
  <c r="K32" i="59"/>
  <c r="U31" i="59"/>
  <c r="T31" i="59"/>
  <c r="P31" i="59"/>
  <c r="N31" i="59"/>
  <c r="K31" i="59"/>
  <c r="U30" i="59"/>
  <c r="T30" i="59"/>
  <c r="P30" i="59"/>
  <c r="Q30" i="59" s="1"/>
  <c r="K30" i="59"/>
  <c r="U29" i="59"/>
  <c r="V29" i="59" s="1"/>
  <c r="T29" i="59"/>
  <c r="P29" i="59"/>
  <c r="N29" i="59"/>
  <c r="K29" i="59"/>
  <c r="S26" i="59"/>
  <c r="O26" i="59"/>
  <c r="M26" i="59"/>
  <c r="L26" i="59"/>
  <c r="J26" i="59"/>
  <c r="I26" i="59"/>
  <c r="G26" i="59"/>
  <c r="E26" i="59"/>
  <c r="U25" i="59"/>
  <c r="T25" i="59"/>
  <c r="P25" i="59"/>
  <c r="N25" i="59"/>
  <c r="K25" i="59"/>
  <c r="U24" i="59"/>
  <c r="T24" i="59"/>
  <c r="V24" i="59" s="1"/>
  <c r="P24" i="59"/>
  <c r="Q24" i="59" s="1"/>
  <c r="N24" i="59"/>
  <c r="K24" i="59"/>
  <c r="U23" i="59"/>
  <c r="T23" i="59"/>
  <c r="P23" i="59"/>
  <c r="K23" i="59"/>
  <c r="S20" i="59"/>
  <c r="O20" i="59"/>
  <c r="M20" i="59"/>
  <c r="L20" i="59"/>
  <c r="J20" i="59"/>
  <c r="I20" i="59"/>
  <c r="G20" i="59"/>
  <c r="E20" i="59"/>
  <c r="U19" i="59"/>
  <c r="T19" i="59"/>
  <c r="P19" i="59"/>
  <c r="N19" i="59"/>
  <c r="K19" i="59"/>
  <c r="U18" i="59"/>
  <c r="T18" i="59"/>
  <c r="P18" i="59"/>
  <c r="N18" i="59"/>
  <c r="K18" i="59"/>
  <c r="U17" i="59"/>
  <c r="T17" i="59"/>
  <c r="P17" i="59"/>
  <c r="Q17" i="59" s="1"/>
  <c r="K17" i="59"/>
  <c r="U16" i="59"/>
  <c r="T16" i="59"/>
  <c r="P16" i="59"/>
  <c r="N16" i="59"/>
  <c r="K16" i="59"/>
  <c r="U15" i="59"/>
  <c r="T15" i="59"/>
  <c r="P15" i="59"/>
  <c r="N15" i="59"/>
  <c r="K15" i="59"/>
  <c r="U14" i="59"/>
  <c r="T14" i="59"/>
  <c r="Q14" i="59"/>
  <c r="K14" i="59"/>
  <c r="U13" i="59"/>
  <c r="T13" i="59"/>
  <c r="V13" i="59" s="1"/>
  <c r="P13" i="59"/>
  <c r="Q13" i="59" s="1"/>
  <c r="K13" i="59"/>
  <c r="U12" i="59"/>
  <c r="T12" i="59"/>
  <c r="P12" i="59"/>
  <c r="N12" i="59"/>
  <c r="K12" i="59"/>
  <c r="S9" i="59"/>
  <c r="O9" i="59"/>
  <c r="M9" i="59"/>
  <c r="L9" i="59"/>
  <c r="J9" i="59"/>
  <c r="I9" i="59"/>
  <c r="G9" i="59"/>
  <c r="E9" i="59"/>
  <c r="E53" i="59" s="1"/>
  <c r="U8" i="59"/>
  <c r="T8" i="59"/>
  <c r="V8" i="59" s="1"/>
  <c r="P8" i="59"/>
  <c r="N8" i="59"/>
  <c r="Q8" i="59" s="1"/>
  <c r="K8" i="59"/>
  <c r="U7" i="59"/>
  <c r="U9" i="59" s="1"/>
  <c r="T7" i="59"/>
  <c r="P7" i="59"/>
  <c r="P9" i="59" s="1"/>
  <c r="N7" i="59"/>
  <c r="K7" i="59"/>
  <c r="K9" i="59" s="1"/>
  <c r="R17" i="59" l="1"/>
  <c r="G53" i="59"/>
  <c r="Q29" i="59"/>
  <c r="R15" i="59"/>
  <c r="V16" i="59"/>
  <c r="V17" i="59"/>
  <c r="Q19" i="59"/>
  <c r="V25" i="59"/>
  <c r="N9" i="59"/>
  <c r="R8" i="59"/>
  <c r="Q15" i="59"/>
  <c r="V18" i="59"/>
  <c r="R34" i="59"/>
  <c r="V35" i="59"/>
  <c r="Q38" i="59"/>
  <c r="R39" i="59"/>
  <c r="V49" i="59"/>
  <c r="V50" i="59" s="1"/>
  <c r="J53" i="59"/>
  <c r="V30" i="59"/>
  <c r="L53" i="59"/>
  <c r="R14" i="59"/>
  <c r="P26" i="59"/>
  <c r="T20" i="59"/>
  <c r="P40" i="59"/>
  <c r="Q32" i="59"/>
  <c r="R32" i="59" s="1"/>
  <c r="U46" i="59"/>
  <c r="T9" i="59"/>
  <c r="Q25" i="59"/>
  <c r="R53" i="60"/>
  <c r="V53" i="60"/>
  <c r="Q53" i="60"/>
  <c r="N26" i="59"/>
  <c r="Q23" i="59"/>
  <c r="I53" i="59"/>
  <c r="T26" i="59"/>
  <c r="O53" i="59"/>
  <c r="R24" i="59"/>
  <c r="K26" i="59"/>
  <c r="U26" i="59"/>
  <c r="R25" i="59"/>
  <c r="M53" i="59"/>
  <c r="S53" i="59"/>
  <c r="U20" i="59"/>
  <c r="V23" i="59"/>
  <c r="V26" i="59" s="1"/>
  <c r="V31" i="59"/>
  <c r="K20" i="59"/>
  <c r="N20" i="59"/>
  <c r="R13" i="59"/>
  <c r="V14" i="59"/>
  <c r="Q16" i="59"/>
  <c r="R16" i="59" s="1"/>
  <c r="V19" i="59"/>
  <c r="K40" i="59"/>
  <c r="T40" i="59"/>
  <c r="R30" i="59"/>
  <c r="V32" i="59"/>
  <c r="V33" i="59"/>
  <c r="Q35" i="59"/>
  <c r="R35" i="59" s="1"/>
  <c r="U40" i="59"/>
  <c r="V38" i="59"/>
  <c r="P20" i="59"/>
  <c r="V15" i="59"/>
  <c r="Q18" i="59"/>
  <c r="R19" i="59"/>
  <c r="N40" i="59"/>
  <c r="Q31" i="59"/>
  <c r="R33" i="59"/>
  <c r="V34" i="59"/>
  <c r="Q36" i="59"/>
  <c r="R36" i="59" s="1"/>
  <c r="R38" i="59"/>
  <c r="V39" i="59"/>
  <c r="V44" i="59"/>
  <c r="P44" i="59"/>
  <c r="R43" i="59"/>
  <c r="V43" i="59"/>
  <c r="V46" i="59" s="1"/>
  <c r="R31" i="59"/>
  <c r="R18" i="59"/>
  <c r="Q7" i="59"/>
  <c r="Q9" i="59" s="1"/>
  <c r="V7" i="59"/>
  <c r="V9" i="59" s="1"/>
  <c r="Q12" i="59"/>
  <c r="V12" i="59"/>
  <c r="R23" i="59"/>
  <c r="R29" i="59"/>
  <c r="T50" i="59"/>
  <c r="Q49" i="59"/>
  <c r="Q50" i="59" s="1"/>
  <c r="T48" i="58"/>
  <c r="T44" i="58"/>
  <c r="T39" i="58"/>
  <c r="T38" i="58"/>
  <c r="T37" i="58"/>
  <c r="T36" i="58"/>
  <c r="T35" i="58"/>
  <c r="T34" i="58"/>
  <c r="T33" i="58"/>
  <c r="T32" i="58"/>
  <c r="T31" i="58"/>
  <c r="T30" i="58"/>
  <c r="T29" i="58"/>
  <c r="T25" i="58"/>
  <c r="T24" i="58"/>
  <c r="T19" i="58"/>
  <c r="T18" i="58"/>
  <c r="T17" i="58"/>
  <c r="T16" i="58"/>
  <c r="T15" i="58"/>
  <c r="T14" i="58"/>
  <c r="T13" i="58"/>
  <c r="T12" i="58"/>
  <c r="T8" i="58"/>
  <c r="T7" i="58"/>
  <c r="Q20" i="59" l="1"/>
  <c r="U53" i="59"/>
  <c r="K53" i="59"/>
  <c r="V40" i="59"/>
  <c r="R26" i="59"/>
  <c r="Q40" i="59"/>
  <c r="R40" i="59"/>
  <c r="Q44" i="59"/>
  <c r="P46" i="59"/>
  <c r="P53" i="59" s="1"/>
  <c r="N53" i="59"/>
  <c r="Q26" i="59"/>
  <c r="R12" i="59"/>
  <c r="R20" i="59" s="1"/>
  <c r="V20" i="59"/>
  <c r="T53" i="59"/>
  <c r="R49" i="59"/>
  <c r="R50" i="59" s="1"/>
  <c r="R7" i="59"/>
  <c r="R9" i="59" s="1"/>
  <c r="S40" i="58"/>
  <c r="T40" i="58"/>
  <c r="V53" i="59" l="1"/>
  <c r="R44" i="59"/>
  <c r="R46" i="59" s="1"/>
  <c r="R53" i="59" s="1"/>
  <c r="Q46" i="59"/>
  <c r="Q53" i="59" s="1"/>
  <c r="N7" i="58"/>
  <c r="U48" i="58" l="1"/>
  <c r="V48" i="58" s="1"/>
  <c r="T49" i="58"/>
  <c r="U44" i="58"/>
  <c r="V44" i="58" s="1"/>
  <c r="U43" i="58"/>
  <c r="T43" i="58"/>
  <c r="T45" i="58" s="1"/>
  <c r="U32" i="58"/>
  <c r="V32" i="58" s="1"/>
  <c r="U33" i="58"/>
  <c r="V33" i="58" s="1"/>
  <c r="U34" i="58"/>
  <c r="V34" i="58" s="1"/>
  <c r="U35" i="58"/>
  <c r="V35" i="58" s="1"/>
  <c r="U36" i="58"/>
  <c r="V36" i="58" s="1"/>
  <c r="U37" i="58"/>
  <c r="V37" i="58" s="1"/>
  <c r="U38" i="58"/>
  <c r="V38" i="58" s="1"/>
  <c r="U39" i="58"/>
  <c r="V39" i="58" s="1"/>
  <c r="U31" i="58"/>
  <c r="V31" i="58" s="1"/>
  <c r="U30" i="58"/>
  <c r="V30" i="58" s="1"/>
  <c r="U29" i="58"/>
  <c r="U25" i="58"/>
  <c r="V25" i="58" s="1"/>
  <c r="U24" i="58"/>
  <c r="V24" i="58" s="1"/>
  <c r="U23" i="58"/>
  <c r="T23" i="58"/>
  <c r="U14" i="58"/>
  <c r="V14" i="58" s="1"/>
  <c r="U15" i="58"/>
  <c r="V15" i="58" s="1"/>
  <c r="U16" i="58"/>
  <c r="V16" i="58" s="1"/>
  <c r="U17" i="58"/>
  <c r="V17" i="58" s="1"/>
  <c r="U18" i="58"/>
  <c r="V18" i="58" s="1"/>
  <c r="U19" i="58"/>
  <c r="V19" i="58" s="1"/>
  <c r="U13" i="58"/>
  <c r="V13" i="58" s="1"/>
  <c r="U12" i="58"/>
  <c r="V12" i="58" s="1"/>
  <c r="T20" i="58"/>
  <c r="U8" i="58"/>
  <c r="V8" i="58" s="1"/>
  <c r="U7" i="58"/>
  <c r="V7" i="58" s="1"/>
  <c r="T9" i="58"/>
  <c r="V29" i="58" l="1"/>
  <c r="V40" i="58" s="1"/>
  <c r="U40" i="58"/>
  <c r="T26" i="58"/>
  <c r="T52" i="58" s="1"/>
  <c r="V23" i="58"/>
  <c r="V43" i="58"/>
  <c r="U49" i="58" l="1"/>
  <c r="S49" i="58"/>
  <c r="O49" i="58"/>
  <c r="M49" i="58"/>
  <c r="L49" i="58"/>
  <c r="J49" i="58"/>
  <c r="I49" i="58"/>
  <c r="G49" i="58"/>
  <c r="E49" i="58"/>
  <c r="V49" i="58"/>
  <c r="P48" i="58"/>
  <c r="P49" i="58" s="1"/>
  <c r="N48" i="58"/>
  <c r="Q48" i="58" s="1"/>
  <c r="Q49" i="58" s="1"/>
  <c r="K48" i="58"/>
  <c r="U45" i="58"/>
  <c r="S45" i="58"/>
  <c r="O45" i="58"/>
  <c r="N45" i="58"/>
  <c r="M45" i="58"/>
  <c r="L45" i="58"/>
  <c r="J45" i="58"/>
  <c r="I45" i="58"/>
  <c r="G45" i="58"/>
  <c r="E45" i="58"/>
  <c r="K44" i="58"/>
  <c r="V45" i="58"/>
  <c r="P43" i="58"/>
  <c r="Q43" i="58" s="1"/>
  <c r="K43" i="58"/>
  <c r="O40" i="58"/>
  <c r="M40" i="58"/>
  <c r="L40" i="58"/>
  <c r="J40" i="58"/>
  <c r="I40" i="58"/>
  <c r="G40" i="58"/>
  <c r="E40" i="58"/>
  <c r="P39" i="58"/>
  <c r="N39" i="58"/>
  <c r="K39" i="58"/>
  <c r="P38" i="58"/>
  <c r="N38" i="58"/>
  <c r="Q38" i="58" s="1"/>
  <c r="K38" i="58"/>
  <c r="R38" i="58" s="1"/>
  <c r="P37" i="58"/>
  <c r="Q37" i="58" s="1"/>
  <c r="R37" i="58" s="1"/>
  <c r="K37" i="58"/>
  <c r="P36" i="58"/>
  <c r="N36" i="58"/>
  <c r="K36" i="58"/>
  <c r="P35" i="58"/>
  <c r="N35" i="58"/>
  <c r="Q35" i="58" s="1"/>
  <c r="K35" i="58"/>
  <c r="P34" i="58"/>
  <c r="N34" i="58"/>
  <c r="K34" i="58"/>
  <c r="P33" i="58"/>
  <c r="Q33" i="58" s="1"/>
  <c r="K33" i="58"/>
  <c r="P32" i="58"/>
  <c r="N32" i="58"/>
  <c r="K32" i="58"/>
  <c r="P31" i="58"/>
  <c r="N31" i="58"/>
  <c r="Q31" i="58" s="1"/>
  <c r="K31" i="58"/>
  <c r="P30" i="58"/>
  <c r="K30" i="58"/>
  <c r="P29" i="58"/>
  <c r="N29" i="58"/>
  <c r="Q29" i="58" s="1"/>
  <c r="K29" i="58"/>
  <c r="U26" i="58"/>
  <c r="S26" i="58"/>
  <c r="O26" i="58"/>
  <c r="M26" i="58"/>
  <c r="L26" i="58"/>
  <c r="J26" i="58"/>
  <c r="G26" i="58"/>
  <c r="E26" i="58"/>
  <c r="P25" i="58"/>
  <c r="N25" i="58"/>
  <c r="K25" i="58"/>
  <c r="P24" i="58"/>
  <c r="N24" i="58"/>
  <c r="K24" i="58"/>
  <c r="V26" i="58"/>
  <c r="P23" i="58"/>
  <c r="P26" i="58" s="1"/>
  <c r="K23" i="58"/>
  <c r="U20" i="58"/>
  <c r="S20" i="58"/>
  <c r="O20" i="58"/>
  <c r="M20" i="58"/>
  <c r="L20" i="58"/>
  <c r="J20" i="58"/>
  <c r="I20" i="58"/>
  <c r="G20" i="58"/>
  <c r="E20" i="58"/>
  <c r="P19" i="58"/>
  <c r="N19" i="58"/>
  <c r="K19" i="58"/>
  <c r="P18" i="58"/>
  <c r="N18" i="58"/>
  <c r="Q18" i="58" s="1"/>
  <c r="K18" i="58"/>
  <c r="P17" i="58"/>
  <c r="Q17" i="58" s="1"/>
  <c r="K17" i="58"/>
  <c r="P16" i="58"/>
  <c r="N16" i="58"/>
  <c r="K16" i="58"/>
  <c r="P15" i="58"/>
  <c r="N15" i="58"/>
  <c r="Q15" i="58" s="1"/>
  <c r="K15" i="58"/>
  <c r="Q14" i="58"/>
  <c r="K14" i="58"/>
  <c r="P13" i="58"/>
  <c r="Q13" i="58" s="1"/>
  <c r="K13" i="58"/>
  <c r="P12" i="58"/>
  <c r="N12" i="58"/>
  <c r="Q12" i="58" s="1"/>
  <c r="K12" i="58"/>
  <c r="K20" i="58" s="1"/>
  <c r="U9" i="58"/>
  <c r="S9" i="58"/>
  <c r="O9" i="58"/>
  <c r="M9" i="58"/>
  <c r="L9" i="58"/>
  <c r="J9" i="58"/>
  <c r="I9" i="58"/>
  <c r="G9" i="58"/>
  <c r="E9" i="58"/>
  <c r="P8" i="58"/>
  <c r="N8" i="58"/>
  <c r="Q8" i="58" s="1"/>
  <c r="K8" i="58"/>
  <c r="P7" i="58"/>
  <c r="K7" i="58"/>
  <c r="Q36" i="58" l="1"/>
  <c r="Q32" i="58"/>
  <c r="Q34" i="58"/>
  <c r="P9" i="58"/>
  <c r="R15" i="58"/>
  <c r="R33" i="58"/>
  <c r="Q16" i="58"/>
  <c r="Q24" i="58"/>
  <c r="R29" i="58"/>
  <c r="K9" i="58"/>
  <c r="S52" i="58"/>
  <c r="P20" i="58"/>
  <c r="R14" i="58"/>
  <c r="R17" i="58"/>
  <c r="N40" i="58"/>
  <c r="P40" i="58"/>
  <c r="R36" i="58"/>
  <c r="R13" i="58"/>
  <c r="Q23" i="58"/>
  <c r="R23" i="58" s="1"/>
  <c r="Q39" i="58"/>
  <c r="L52" i="58"/>
  <c r="U52" i="58"/>
  <c r="R16" i="58"/>
  <c r="R24" i="58"/>
  <c r="Q25" i="58"/>
  <c r="R25" i="58" s="1"/>
  <c r="K40" i="58"/>
  <c r="R34" i="58"/>
  <c r="R35" i="58"/>
  <c r="R48" i="58"/>
  <c r="R49" i="58" s="1"/>
  <c r="E52" i="58"/>
  <c r="G52" i="58"/>
  <c r="V20" i="58"/>
  <c r="V9" i="58"/>
  <c r="O52" i="58"/>
  <c r="J52" i="58"/>
  <c r="N20" i="58"/>
  <c r="R18" i="58"/>
  <c r="M52" i="58"/>
  <c r="R32" i="58"/>
  <c r="R39" i="58"/>
  <c r="K26" i="58"/>
  <c r="R8" i="58"/>
  <c r="R43" i="58"/>
  <c r="I26" i="58"/>
  <c r="I52" i="58" s="1"/>
  <c r="R31" i="58"/>
  <c r="N26" i="58"/>
  <c r="Q30" i="58"/>
  <c r="R30" i="58" s="1"/>
  <c r="R40" i="58" s="1"/>
  <c r="P44" i="58"/>
  <c r="Q44" i="58" s="1"/>
  <c r="Q45" i="58" s="1"/>
  <c r="K45" i="58"/>
  <c r="N49" i="58"/>
  <c r="Q19" i="58"/>
  <c r="R19" i="58" s="1"/>
  <c r="K49" i="58"/>
  <c r="Q7" i="58"/>
  <c r="Q9" i="58" s="1"/>
  <c r="N9" i="58"/>
  <c r="R12" i="58"/>
  <c r="Q26" i="58" l="1"/>
  <c r="R26" i="58"/>
  <c r="V52" i="58"/>
  <c r="K52" i="58"/>
  <c r="Q20" i="58"/>
  <c r="Q40" i="58"/>
  <c r="R20" i="58"/>
  <c r="P45" i="58"/>
  <c r="P52" i="58" s="1"/>
  <c r="R44" i="58"/>
  <c r="R45" i="58" s="1"/>
  <c r="R7" i="58"/>
  <c r="R9" i="58" s="1"/>
  <c r="N52" i="58"/>
  <c r="Q52" i="58" l="1"/>
  <c r="R52" i="58"/>
  <c r="H20" i="56" l="1"/>
  <c r="G20" i="56"/>
  <c r="H40" i="56" l="1"/>
  <c r="G40" i="56"/>
  <c r="E40" i="56"/>
  <c r="E40" i="57"/>
  <c r="K19" i="57" l="1"/>
  <c r="I23" i="57"/>
  <c r="K23" i="57" s="1"/>
  <c r="G40" i="57" l="1"/>
  <c r="T49" i="57"/>
  <c r="S49" i="57"/>
  <c r="O49" i="57"/>
  <c r="M49" i="57"/>
  <c r="L49" i="57"/>
  <c r="J49" i="57"/>
  <c r="I49" i="57"/>
  <c r="G49" i="57"/>
  <c r="E49" i="57"/>
  <c r="U48" i="57"/>
  <c r="U49" i="57" s="1"/>
  <c r="P48" i="57"/>
  <c r="P49" i="57" s="1"/>
  <c r="N48" i="57"/>
  <c r="Q48" i="57" s="1"/>
  <c r="Q49" i="57" s="1"/>
  <c r="K48" i="57"/>
  <c r="K49" i="57" s="1"/>
  <c r="T45" i="57"/>
  <c r="S45" i="57"/>
  <c r="O45" i="57"/>
  <c r="N45" i="57"/>
  <c r="M45" i="57"/>
  <c r="L45" i="57"/>
  <c r="J45" i="57"/>
  <c r="I45" i="57"/>
  <c r="G45" i="57"/>
  <c r="E45" i="57"/>
  <c r="U44" i="57"/>
  <c r="K44" i="57"/>
  <c r="U43" i="57"/>
  <c r="P43" i="57"/>
  <c r="K43" i="57"/>
  <c r="T40" i="57"/>
  <c r="S40" i="57"/>
  <c r="O40" i="57"/>
  <c r="M40" i="57"/>
  <c r="L40" i="57"/>
  <c r="J40" i="57"/>
  <c r="I40" i="57"/>
  <c r="U39" i="57"/>
  <c r="P39" i="57"/>
  <c r="N39" i="57"/>
  <c r="K39" i="57"/>
  <c r="U38" i="57"/>
  <c r="P38" i="57"/>
  <c r="N38" i="57"/>
  <c r="K38" i="57"/>
  <c r="U37" i="57"/>
  <c r="P37" i="57"/>
  <c r="Q37" i="57" s="1"/>
  <c r="K37" i="57"/>
  <c r="U36" i="57"/>
  <c r="P36" i="57"/>
  <c r="N36" i="57"/>
  <c r="Q36" i="57" s="1"/>
  <c r="K36" i="57"/>
  <c r="U35" i="57"/>
  <c r="P35" i="57"/>
  <c r="N35" i="57"/>
  <c r="K35" i="57"/>
  <c r="U34" i="57"/>
  <c r="P34" i="57"/>
  <c r="N34" i="57"/>
  <c r="K34" i="57"/>
  <c r="U33" i="57"/>
  <c r="P33" i="57"/>
  <c r="Q33" i="57" s="1"/>
  <c r="K33" i="57"/>
  <c r="U32" i="57"/>
  <c r="P32" i="57"/>
  <c r="N32" i="57"/>
  <c r="K32" i="57"/>
  <c r="U31" i="57"/>
  <c r="P31" i="57"/>
  <c r="N31" i="57"/>
  <c r="K31" i="57"/>
  <c r="U30" i="57"/>
  <c r="P30" i="57"/>
  <c r="Q30" i="57" s="1"/>
  <c r="K30" i="57"/>
  <c r="U29" i="57"/>
  <c r="P29" i="57"/>
  <c r="N29" i="57"/>
  <c r="K29" i="57"/>
  <c r="T26" i="57"/>
  <c r="S26" i="57"/>
  <c r="O26" i="57"/>
  <c r="M26" i="57"/>
  <c r="L26" i="57"/>
  <c r="J26" i="57"/>
  <c r="I26" i="57"/>
  <c r="G26" i="57"/>
  <c r="E26" i="57"/>
  <c r="U25" i="57"/>
  <c r="P25" i="57"/>
  <c r="N25" i="57"/>
  <c r="Q25" i="57" s="1"/>
  <c r="K25" i="57"/>
  <c r="R25" i="57" s="1"/>
  <c r="U24" i="57"/>
  <c r="P24" i="57"/>
  <c r="N24" i="57"/>
  <c r="N26" i="57" s="1"/>
  <c r="K24" i="57"/>
  <c r="K26" i="57" s="1"/>
  <c r="U23" i="57"/>
  <c r="U26" i="57" s="1"/>
  <c r="P23" i="57"/>
  <c r="P26" i="57" s="1"/>
  <c r="T20" i="57"/>
  <c r="S20" i="57"/>
  <c r="O20" i="57"/>
  <c r="M20" i="57"/>
  <c r="L20" i="57"/>
  <c r="J20" i="57"/>
  <c r="I20" i="57"/>
  <c r="G20" i="57"/>
  <c r="E20" i="57"/>
  <c r="U19" i="57"/>
  <c r="P19" i="57"/>
  <c r="N19" i="57"/>
  <c r="U18" i="57"/>
  <c r="P18" i="57"/>
  <c r="N18" i="57"/>
  <c r="K18" i="57"/>
  <c r="U17" i="57"/>
  <c r="P17" i="57"/>
  <c r="Q17" i="57" s="1"/>
  <c r="R17" i="57" s="1"/>
  <c r="K17" i="57"/>
  <c r="U16" i="57"/>
  <c r="P16" i="57"/>
  <c r="N16" i="57"/>
  <c r="K16" i="57"/>
  <c r="U15" i="57"/>
  <c r="P15" i="57"/>
  <c r="N15" i="57"/>
  <c r="K15" i="57"/>
  <c r="U14" i="57"/>
  <c r="Q14" i="57"/>
  <c r="K14" i="57"/>
  <c r="U13" i="57"/>
  <c r="P13" i="57"/>
  <c r="Q13" i="57" s="1"/>
  <c r="K13" i="57"/>
  <c r="U12" i="57"/>
  <c r="P12" i="57"/>
  <c r="N12" i="57"/>
  <c r="K12" i="57"/>
  <c r="T9" i="57"/>
  <c r="S9" i="57"/>
  <c r="O9" i="57"/>
  <c r="M9" i="57"/>
  <c r="L9" i="57"/>
  <c r="J9" i="57"/>
  <c r="I9" i="57"/>
  <c r="G9" i="57"/>
  <c r="E9" i="57"/>
  <c r="U8" i="57"/>
  <c r="P8" i="57"/>
  <c r="N8" i="57"/>
  <c r="K8" i="57"/>
  <c r="U7" i="57"/>
  <c r="U9" i="57" s="1"/>
  <c r="P7" i="57"/>
  <c r="P9" i="57" s="1"/>
  <c r="N7" i="57"/>
  <c r="Q7" i="57" s="1"/>
  <c r="K7" i="57"/>
  <c r="K9" i="57" s="1"/>
  <c r="J52" i="57" l="1"/>
  <c r="N20" i="57"/>
  <c r="N40" i="57"/>
  <c r="R30" i="57"/>
  <c r="Q32" i="57"/>
  <c r="Q35" i="57"/>
  <c r="R14" i="57"/>
  <c r="Q16" i="57"/>
  <c r="Q39" i="57"/>
  <c r="Q19" i="57"/>
  <c r="R19" i="57" s="1"/>
  <c r="E52" i="57"/>
  <c r="L52" i="57"/>
  <c r="S52" i="57"/>
  <c r="P20" i="57"/>
  <c r="P40" i="57"/>
  <c r="K45" i="57"/>
  <c r="K52" i="57" s="1"/>
  <c r="N9" i="57"/>
  <c r="G52" i="57"/>
  <c r="T52" i="57"/>
  <c r="R16" i="57"/>
  <c r="U40" i="57"/>
  <c r="R33" i="57"/>
  <c r="R35" i="57"/>
  <c r="O52" i="57"/>
  <c r="K20" i="57"/>
  <c r="R13" i="57"/>
  <c r="Q15" i="57"/>
  <c r="R15" i="57" s="1"/>
  <c r="Q18" i="57"/>
  <c r="R18" i="57" s="1"/>
  <c r="K40" i="57"/>
  <c r="Q31" i="57"/>
  <c r="R31" i="57" s="1"/>
  <c r="Q34" i="57"/>
  <c r="R36" i="57"/>
  <c r="Q38" i="57"/>
  <c r="U45" i="57"/>
  <c r="M52" i="57"/>
  <c r="I52" i="57"/>
  <c r="U20" i="57"/>
  <c r="R37" i="57"/>
  <c r="R32" i="57"/>
  <c r="R34" i="57"/>
  <c r="R38" i="57"/>
  <c r="R39" i="57"/>
  <c r="R48" i="57"/>
  <c r="R49" i="57" s="1"/>
  <c r="Q8" i="57"/>
  <c r="Q9" i="57" s="1"/>
  <c r="Q29" i="57"/>
  <c r="Q40" i="57" s="1"/>
  <c r="Q12" i="57"/>
  <c r="R12" i="57" s="1"/>
  <c r="Q24" i="57"/>
  <c r="Q43" i="57"/>
  <c r="P44" i="57"/>
  <c r="Q44" i="57" s="1"/>
  <c r="R44" i="57" s="1"/>
  <c r="N49" i="57"/>
  <c r="N52" i="57" s="1"/>
  <c r="R24" i="57"/>
  <c r="R7" i="57"/>
  <c r="Q23" i="57"/>
  <c r="R8" i="57" l="1"/>
  <c r="R20" i="57"/>
  <c r="Q20" i="57"/>
  <c r="R9" i="57"/>
  <c r="U52" i="57"/>
  <c r="R29" i="57"/>
  <c r="R40" i="57" s="1"/>
  <c r="Q45" i="57"/>
  <c r="R43" i="57"/>
  <c r="R45" i="57" s="1"/>
  <c r="R23" i="57"/>
  <c r="R26" i="57" s="1"/>
  <c r="Q26" i="57"/>
  <c r="P45" i="57"/>
  <c r="P52" i="57" s="1"/>
  <c r="Q52" i="57" l="1"/>
  <c r="R52" i="57"/>
  <c r="T49" i="56"/>
  <c r="T45" i="56"/>
  <c r="T40" i="56"/>
  <c r="T26" i="56"/>
  <c r="T20" i="56"/>
  <c r="T9" i="56"/>
  <c r="K48" i="56"/>
  <c r="K44" i="56"/>
  <c r="K43" i="56"/>
  <c r="K32" i="56"/>
  <c r="K33" i="56"/>
  <c r="K34" i="56"/>
  <c r="K35" i="56"/>
  <c r="K36" i="56"/>
  <c r="K37" i="56"/>
  <c r="K38" i="56"/>
  <c r="K39" i="56"/>
  <c r="K31" i="56"/>
  <c r="K30" i="56"/>
  <c r="K29" i="56"/>
  <c r="K25" i="56"/>
  <c r="K24" i="56"/>
  <c r="K14" i="56"/>
  <c r="K13" i="56"/>
  <c r="K12" i="56"/>
  <c r="K15" i="56"/>
  <c r="K16" i="56"/>
  <c r="K17" i="56"/>
  <c r="K18" i="56"/>
  <c r="K19" i="56"/>
  <c r="K8" i="56"/>
  <c r="K7" i="56"/>
  <c r="I23" i="56" l="1"/>
  <c r="K23" i="56" s="1"/>
  <c r="H9" i="56"/>
  <c r="H26" i="56"/>
  <c r="H45" i="56"/>
  <c r="H49" i="56"/>
  <c r="H52" i="56" l="1"/>
  <c r="K49" i="56" l="1"/>
  <c r="S49" i="56"/>
  <c r="O49" i="56"/>
  <c r="M49" i="56"/>
  <c r="L49" i="56"/>
  <c r="J49" i="56"/>
  <c r="I49" i="56"/>
  <c r="G49" i="56"/>
  <c r="E49" i="56"/>
  <c r="U48" i="56"/>
  <c r="U49" i="56" s="1"/>
  <c r="P48" i="56"/>
  <c r="P49" i="56" s="1"/>
  <c r="N48" i="56"/>
  <c r="N49" i="56" s="1"/>
  <c r="S45" i="56"/>
  <c r="O45" i="56"/>
  <c r="N45" i="56"/>
  <c r="M45" i="56"/>
  <c r="L45" i="56"/>
  <c r="J45" i="56"/>
  <c r="I45" i="56"/>
  <c r="G45" i="56"/>
  <c r="E45" i="56"/>
  <c r="U44" i="56"/>
  <c r="U43" i="56"/>
  <c r="U45" i="56" s="1"/>
  <c r="P43" i="56"/>
  <c r="S40" i="56"/>
  <c r="O40" i="56"/>
  <c r="M40" i="56"/>
  <c r="L40" i="56"/>
  <c r="J40" i="56"/>
  <c r="I40" i="56"/>
  <c r="U39" i="56"/>
  <c r="P39" i="56"/>
  <c r="N39" i="56"/>
  <c r="U38" i="56"/>
  <c r="P38" i="56"/>
  <c r="Q38" i="56" s="1"/>
  <c r="R38" i="56" s="1"/>
  <c r="N38" i="56"/>
  <c r="U37" i="56"/>
  <c r="P37" i="56"/>
  <c r="Q37" i="56" s="1"/>
  <c r="R37" i="56" s="1"/>
  <c r="U36" i="56"/>
  <c r="P36" i="56"/>
  <c r="N36" i="56"/>
  <c r="Q36" i="56" s="1"/>
  <c r="R36" i="56" s="1"/>
  <c r="U35" i="56"/>
  <c r="P35" i="56"/>
  <c r="N35" i="56"/>
  <c r="U34" i="56"/>
  <c r="P34" i="56"/>
  <c r="Q34" i="56" s="1"/>
  <c r="R34" i="56" s="1"/>
  <c r="N34" i="56"/>
  <c r="U33" i="56"/>
  <c r="P33" i="56"/>
  <c r="Q33" i="56" s="1"/>
  <c r="R33" i="56" s="1"/>
  <c r="U32" i="56"/>
  <c r="P32" i="56"/>
  <c r="N32" i="56"/>
  <c r="Q32" i="56" s="1"/>
  <c r="R32" i="56" s="1"/>
  <c r="U31" i="56"/>
  <c r="P31" i="56"/>
  <c r="N31" i="56"/>
  <c r="U30" i="56"/>
  <c r="P30" i="56"/>
  <c r="Q30" i="56" s="1"/>
  <c r="R30" i="56" s="1"/>
  <c r="U29" i="56"/>
  <c r="P29" i="56"/>
  <c r="N29" i="56"/>
  <c r="S26" i="56"/>
  <c r="O26" i="56"/>
  <c r="M26" i="56"/>
  <c r="L26" i="56"/>
  <c r="J26" i="56"/>
  <c r="I26" i="56"/>
  <c r="G26" i="56"/>
  <c r="E26" i="56"/>
  <c r="U25" i="56"/>
  <c r="Q25" i="56"/>
  <c r="R25" i="56" s="1"/>
  <c r="P25" i="56"/>
  <c r="N25" i="56"/>
  <c r="U24" i="56"/>
  <c r="P24" i="56"/>
  <c r="N24" i="56"/>
  <c r="N26" i="56" s="1"/>
  <c r="U23" i="56"/>
  <c r="P23" i="56"/>
  <c r="Q23" i="56" s="1"/>
  <c r="R23" i="56" s="1"/>
  <c r="S20" i="56"/>
  <c r="O20" i="56"/>
  <c r="M20" i="56"/>
  <c r="L20" i="56"/>
  <c r="J20" i="56"/>
  <c r="I20" i="56"/>
  <c r="E20" i="56"/>
  <c r="U19" i="56"/>
  <c r="P19" i="56"/>
  <c r="N19" i="56"/>
  <c r="U18" i="56"/>
  <c r="P18" i="56"/>
  <c r="N18" i="56"/>
  <c r="U17" i="56"/>
  <c r="P17" i="56"/>
  <c r="Q17" i="56" s="1"/>
  <c r="R17" i="56" s="1"/>
  <c r="U16" i="56"/>
  <c r="P16" i="56"/>
  <c r="N16" i="56"/>
  <c r="U15" i="56"/>
  <c r="P15" i="56"/>
  <c r="N15" i="56"/>
  <c r="U14" i="56"/>
  <c r="Q14" i="56"/>
  <c r="R14" i="56" s="1"/>
  <c r="U13" i="56"/>
  <c r="P13" i="56"/>
  <c r="Q13" i="56" s="1"/>
  <c r="R13" i="56" s="1"/>
  <c r="U12" i="56"/>
  <c r="P12" i="56"/>
  <c r="N12" i="56"/>
  <c r="S9" i="56"/>
  <c r="O9" i="56"/>
  <c r="M9" i="56"/>
  <c r="L9" i="56"/>
  <c r="L52" i="56" s="1"/>
  <c r="J9" i="56"/>
  <c r="I9" i="56"/>
  <c r="G9" i="56"/>
  <c r="E9" i="56"/>
  <c r="E52" i="56" s="1"/>
  <c r="U8" i="56"/>
  <c r="P8" i="56"/>
  <c r="N8" i="56"/>
  <c r="Q8" i="56" s="1"/>
  <c r="R8" i="56" s="1"/>
  <c r="U7" i="56"/>
  <c r="U9" i="56" s="1"/>
  <c r="P7" i="56"/>
  <c r="N7" i="56"/>
  <c r="P9" i="56" l="1"/>
  <c r="Q16" i="56"/>
  <c r="R16" i="56" s="1"/>
  <c r="U26" i="56"/>
  <c r="S52" i="56"/>
  <c r="Q15" i="56"/>
  <c r="R15" i="56" s="1"/>
  <c r="Q19" i="56"/>
  <c r="R19" i="56" s="1"/>
  <c r="P40" i="56"/>
  <c r="Q31" i="56"/>
  <c r="R31" i="56" s="1"/>
  <c r="N9" i="56"/>
  <c r="G52" i="56"/>
  <c r="N20" i="56"/>
  <c r="Q29" i="56"/>
  <c r="R29" i="56" s="1"/>
  <c r="O52" i="56"/>
  <c r="P20" i="56"/>
  <c r="Q18" i="56"/>
  <c r="R18" i="56" s="1"/>
  <c r="U40" i="56"/>
  <c r="Q35" i="56"/>
  <c r="R35" i="56" s="1"/>
  <c r="J52" i="56"/>
  <c r="Q48" i="56"/>
  <c r="Q7" i="56"/>
  <c r="R7" i="56" s="1"/>
  <c r="R9" i="56" s="1"/>
  <c r="P26" i="56"/>
  <c r="M52" i="56"/>
  <c r="N40" i="56"/>
  <c r="Q39" i="56"/>
  <c r="R39" i="56" s="1"/>
  <c r="K20" i="56"/>
  <c r="K9" i="56"/>
  <c r="I52" i="56"/>
  <c r="K26" i="56"/>
  <c r="K40" i="56"/>
  <c r="U20" i="56"/>
  <c r="T52" i="56"/>
  <c r="Q40" i="56"/>
  <c r="Q12" i="56"/>
  <c r="Q24" i="56"/>
  <c r="Q43" i="56"/>
  <c r="Q44" i="56"/>
  <c r="R44" i="56" s="1"/>
  <c r="K45" i="56"/>
  <c r="Q8" i="55"/>
  <c r="N52" i="56" l="1"/>
  <c r="Q9" i="56"/>
  <c r="U52" i="56"/>
  <c r="R48" i="56"/>
  <c r="R49" i="56" s="1"/>
  <c r="Q49" i="56"/>
  <c r="Q26" i="56"/>
  <c r="R24" i="56"/>
  <c r="R26" i="56" s="1"/>
  <c r="Q20" i="56"/>
  <c r="R12" i="56"/>
  <c r="R20" i="56" s="1"/>
  <c r="R40" i="56"/>
  <c r="Q45" i="56"/>
  <c r="P45" i="56"/>
  <c r="P52" i="56" s="1"/>
  <c r="K52" i="56"/>
  <c r="R43" i="56"/>
  <c r="R45" i="56" s="1"/>
  <c r="O171" i="55"/>
  <c r="M171" i="55"/>
  <c r="L171" i="55"/>
  <c r="G171" i="55"/>
  <c r="Q170" i="55"/>
  <c r="O170" i="55"/>
  <c r="M170" i="55"/>
  <c r="L170" i="55"/>
  <c r="G170" i="55"/>
  <c r="Q169" i="55"/>
  <c r="O169" i="55"/>
  <c r="M169" i="55"/>
  <c r="L169" i="55"/>
  <c r="G169" i="55"/>
  <c r="Q168" i="55"/>
  <c r="O168" i="55"/>
  <c r="M168" i="55"/>
  <c r="L168" i="55"/>
  <c r="G168" i="55"/>
  <c r="O167" i="55"/>
  <c r="M167" i="55"/>
  <c r="L167" i="55"/>
  <c r="G167" i="55"/>
  <c r="O166" i="55"/>
  <c r="M166" i="55"/>
  <c r="L166" i="55"/>
  <c r="Q165" i="55"/>
  <c r="P165" i="55"/>
  <c r="O165" i="55"/>
  <c r="N165" i="55"/>
  <c r="M165" i="55"/>
  <c r="L165" i="55"/>
  <c r="O142" i="55"/>
  <c r="M142" i="55"/>
  <c r="L142" i="55"/>
  <c r="Q140" i="55"/>
  <c r="K140" i="55"/>
  <c r="I140" i="55"/>
  <c r="H140" i="55"/>
  <c r="E140" i="55"/>
  <c r="F140" i="55" s="1"/>
  <c r="Q139" i="55"/>
  <c r="K139" i="55"/>
  <c r="I139" i="55"/>
  <c r="H139" i="55"/>
  <c r="E139" i="55"/>
  <c r="F139" i="55" s="1"/>
  <c r="Q138" i="55"/>
  <c r="K138" i="55"/>
  <c r="I138" i="55"/>
  <c r="H138" i="55"/>
  <c r="F138" i="55"/>
  <c r="E138" i="55"/>
  <c r="Q137" i="55"/>
  <c r="K137" i="55"/>
  <c r="I137" i="55"/>
  <c r="H137" i="55"/>
  <c r="E137" i="55"/>
  <c r="F137" i="55" s="1"/>
  <c r="Q136" i="55"/>
  <c r="K136" i="55"/>
  <c r="I136" i="55"/>
  <c r="H136" i="55"/>
  <c r="E136" i="55"/>
  <c r="F136" i="55" s="1"/>
  <c r="Q135" i="55"/>
  <c r="K135" i="55"/>
  <c r="I135" i="55"/>
  <c r="H135" i="55"/>
  <c r="E135" i="55"/>
  <c r="F135" i="55" s="1"/>
  <c r="Q134" i="55"/>
  <c r="K134" i="55"/>
  <c r="I134" i="55"/>
  <c r="H134" i="55"/>
  <c r="E134" i="55"/>
  <c r="F134" i="55" s="1"/>
  <c r="Q133" i="55"/>
  <c r="K133" i="55"/>
  <c r="I133" i="55"/>
  <c r="H133" i="55"/>
  <c r="E133" i="55"/>
  <c r="F133" i="55" s="1"/>
  <c r="Q132" i="55"/>
  <c r="K132" i="55"/>
  <c r="I132" i="55"/>
  <c r="H132" i="55"/>
  <c r="F132" i="55"/>
  <c r="E132" i="55"/>
  <c r="Q131" i="55"/>
  <c r="K131" i="55"/>
  <c r="I131" i="55"/>
  <c r="H131" i="55"/>
  <c r="E131" i="55"/>
  <c r="F131" i="55" s="1"/>
  <c r="Q130" i="55"/>
  <c r="K130" i="55"/>
  <c r="I130" i="55"/>
  <c r="H130" i="55"/>
  <c r="F130" i="55"/>
  <c r="E130" i="55"/>
  <c r="Q129" i="55"/>
  <c r="K129" i="55"/>
  <c r="I129" i="55"/>
  <c r="H129" i="55"/>
  <c r="E129" i="55"/>
  <c r="F129" i="55" s="1"/>
  <c r="Q128" i="55"/>
  <c r="K128" i="55"/>
  <c r="I128" i="55"/>
  <c r="H128" i="55"/>
  <c r="E128" i="55"/>
  <c r="F128" i="55" s="1"/>
  <c r="Q127" i="55"/>
  <c r="K127" i="55"/>
  <c r="I127" i="55"/>
  <c r="H127" i="55"/>
  <c r="E127" i="55"/>
  <c r="F127" i="55" s="1"/>
  <c r="Q126" i="55"/>
  <c r="K126" i="55"/>
  <c r="I126" i="55"/>
  <c r="H126" i="55"/>
  <c r="E126" i="55"/>
  <c r="F126" i="55" s="1"/>
  <c r="Q125" i="55"/>
  <c r="K125" i="55"/>
  <c r="I125" i="55"/>
  <c r="H125" i="55"/>
  <c r="E125" i="55"/>
  <c r="F125" i="55" s="1"/>
  <c r="Q124" i="55"/>
  <c r="K124" i="55"/>
  <c r="I124" i="55"/>
  <c r="H124" i="55"/>
  <c r="F124" i="55"/>
  <c r="E124" i="55"/>
  <c r="Q123" i="55"/>
  <c r="K123" i="55"/>
  <c r="I123" i="55"/>
  <c r="H123" i="55"/>
  <c r="E123" i="55"/>
  <c r="F123" i="55" s="1"/>
  <c r="Q122" i="55"/>
  <c r="K122" i="55"/>
  <c r="I122" i="55"/>
  <c r="H122" i="55"/>
  <c r="F122" i="55"/>
  <c r="E122" i="55"/>
  <c r="Q121" i="55"/>
  <c r="K121" i="55"/>
  <c r="I121" i="55"/>
  <c r="H121" i="55"/>
  <c r="E121" i="55"/>
  <c r="F121" i="55" s="1"/>
  <c r="Q120" i="55"/>
  <c r="K120" i="55"/>
  <c r="I120" i="55"/>
  <c r="H120" i="55"/>
  <c r="E120" i="55"/>
  <c r="F120" i="55" s="1"/>
  <c r="Q119" i="55"/>
  <c r="K119" i="55"/>
  <c r="I119" i="55"/>
  <c r="H119" i="55"/>
  <c r="E119" i="55"/>
  <c r="F119" i="55" s="1"/>
  <c r="Q118" i="55"/>
  <c r="K118" i="55"/>
  <c r="I118" i="55"/>
  <c r="H118" i="55"/>
  <c r="E118" i="55"/>
  <c r="F118" i="55" s="1"/>
  <c r="Q117" i="55"/>
  <c r="K117" i="55"/>
  <c r="I117" i="55"/>
  <c r="H117" i="55"/>
  <c r="E117" i="55"/>
  <c r="F117" i="55" s="1"/>
  <c r="Q116" i="55"/>
  <c r="K116" i="55"/>
  <c r="I116" i="55"/>
  <c r="H116" i="55"/>
  <c r="E116" i="55"/>
  <c r="F116" i="55" s="1"/>
  <c r="Q115" i="55"/>
  <c r="K115" i="55"/>
  <c r="I115" i="55"/>
  <c r="H115" i="55"/>
  <c r="E115" i="55"/>
  <c r="F115" i="55" s="1"/>
  <c r="Q114" i="55"/>
  <c r="K114" i="55"/>
  <c r="I114" i="55"/>
  <c r="H114" i="55"/>
  <c r="F114" i="55"/>
  <c r="E114" i="55"/>
  <c r="Q113" i="55"/>
  <c r="K113" i="55"/>
  <c r="I113" i="55"/>
  <c r="H113" i="55"/>
  <c r="E113" i="55"/>
  <c r="F113" i="55" s="1"/>
  <c r="Q112" i="55"/>
  <c r="K112" i="55"/>
  <c r="I112" i="55"/>
  <c r="H112" i="55"/>
  <c r="E112" i="55"/>
  <c r="F112" i="55" s="1"/>
  <c r="Q111" i="55"/>
  <c r="K111" i="55"/>
  <c r="I111" i="55"/>
  <c r="H111" i="55"/>
  <c r="E111" i="55"/>
  <c r="F111" i="55" s="1"/>
  <c r="Q110" i="55"/>
  <c r="K110" i="55"/>
  <c r="I110" i="55"/>
  <c r="H110" i="55"/>
  <c r="E110" i="55"/>
  <c r="F110" i="55" s="1"/>
  <c r="Q109" i="55"/>
  <c r="K109" i="55"/>
  <c r="I109" i="55"/>
  <c r="H109" i="55"/>
  <c r="E109" i="55"/>
  <c r="F109" i="55" s="1"/>
  <c r="Q108" i="55"/>
  <c r="K108" i="55"/>
  <c r="I108" i="55"/>
  <c r="H108" i="55"/>
  <c r="E108" i="55"/>
  <c r="F108" i="55" s="1"/>
  <c r="Q107" i="55"/>
  <c r="K107" i="55"/>
  <c r="I107" i="55"/>
  <c r="H107" i="55"/>
  <c r="E107" i="55"/>
  <c r="F107" i="55" s="1"/>
  <c r="Q106" i="55"/>
  <c r="K106" i="55"/>
  <c r="I106" i="55"/>
  <c r="H106" i="55"/>
  <c r="F106" i="55"/>
  <c r="E106" i="55"/>
  <c r="Q105" i="55"/>
  <c r="K105" i="55"/>
  <c r="I105" i="55"/>
  <c r="H105" i="55"/>
  <c r="E105" i="55"/>
  <c r="F105" i="55" s="1"/>
  <c r="Q104" i="55"/>
  <c r="K104" i="55"/>
  <c r="I104" i="55"/>
  <c r="H104" i="55"/>
  <c r="E104" i="55"/>
  <c r="F104" i="55" s="1"/>
  <c r="Q103" i="55"/>
  <c r="K103" i="55"/>
  <c r="I103" i="55"/>
  <c r="H103" i="55"/>
  <c r="E103" i="55"/>
  <c r="F103" i="55" s="1"/>
  <c r="Q102" i="55"/>
  <c r="K102" i="55"/>
  <c r="I102" i="55"/>
  <c r="H102" i="55"/>
  <c r="E102" i="55"/>
  <c r="F102" i="55" s="1"/>
  <c r="Q101" i="55"/>
  <c r="K101" i="55"/>
  <c r="I101" i="55"/>
  <c r="H101" i="55"/>
  <c r="E101" i="55"/>
  <c r="F101" i="55" s="1"/>
  <c r="Q100" i="55"/>
  <c r="K100" i="55"/>
  <c r="I100" i="55"/>
  <c r="H100" i="55"/>
  <c r="E100" i="55"/>
  <c r="F100" i="55" s="1"/>
  <c r="Q99" i="55"/>
  <c r="K99" i="55"/>
  <c r="I99" i="55"/>
  <c r="H99" i="55"/>
  <c r="E99" i="55"/>
  <c r="F99" i="55" s="1"/>
  <c r="Q98" i="55"/>
  <c r="K98" i="55"/>
  <c r="I98" i="55"/>
  <c r="H98" i="55"/>
  <c r="F98" i="55"/>
  <c r="E98" i="55"/>
  <c r="Q97" i="55"/>
  <c r="K97" i="55"/>
  <c r="I97" i="55"/>
  <c r="H97" i="55"/>
  <c r="E97" i="55"/>
  <c r="F97" i="55" s="1"/>
  <c r="Q96" i="55"/>
  <c r="K96" i="55"/>
  <c r="I96" i="55"/>
  <c r="H96" i="55"/>
  <c r="E96" i="55"/>
  <c r="F96" i="55" s="1"/>
  <c r="Q95" i="55"/>
  <c r="K95" i="55"/>
  <c r="I95" i="55"/>
  <c r="H95" i="55"/>
  <c r="E95" i="55"/>
  <c r="F95" i="55" s="1"/>
  <c r="Q94" i="55"/>
  <c r="K94" i="55"/>
  <c r="I94" i="55"/>
  <c r="H94" i="55"/>
  <c r="E94" i="55"/>
  <c r="F94" i="55" s="1"/>
  <c r="Q93" i="55"/>
  <c r="E93" i="55"/>
  <c r="F93" i="55" s="1"/>
  <c r="Q92" i="55"/>
  <c r="K92" i="55"/>
  <c r="I92" i="55"/>
  <c r="H92" i="55"/>
  <c r="E92" i="55"/>
  <c r="F92" i="55" s="1"/>
  <c r="Q91" i="55"/>
  <c r="K91" i="55"/>
  <c r="I91" i="55"/>
  <c r="H91" i="55"/>
  <c r="E91" i="55"/>
  <c r="F91" i="55" s="1"/>
  <c r="Q90" i="55"/>
  <c r="K90" i="55"/>
  <c r="I90" i="55"/>
  <c r="H90" i="55"/>
  <c r="E90" i="55"/>
  <c r="F90" i="55" s="1"/>
  <c r="Q89" i="55"/>
  <c r="K89" i="55"/>
  <c r="I89" i="55"/>
  <c r="H89" i="55"/>
  <c r="E89" i="55"/>
  <c r="F89" i="55" s="1"/>
  <c r="Q88" i="55"/>
  <c r="K88" i="55"/>
  <c r="I88" i="55"/>
  <c r="H88" i="55"/>
  <c r="E88" i="55"/>
  <c r="F88" i="55" s="1"/>
  <c r="Q87" i="55"/>
  <c r="K87" i="55"/>
  <c r="I87" i="55"/>
  <c r="H87" i="55"/>
  <c r="E87" i="55"/>
  <c r="F87" i="55" s="1"/>
  <c r="Q86" i="55"/>
  <c r="K86" i="55"/>
  <c r="I86" i="55"/>
  <c r="H86" i="55"/>
  <c r="E86" i="55"/>
  <c r="F86" i="55" s="1"/>
  <c r="Q85" i="55"/>
  <c r="K85" i="55"/>
  <c r="I85" i="55"/>
  <c r="H85" i="55"/>
  <c r="E85" i="55"/>
  <c r="F85" i="55" s="1"/>
  <c r="Q84" i="55"/>
  <c r="K84" i="55"/>
  <c r="I84" i="55"/>
  <c r="H84" i="55"/>
  <c r="E84" i="55"/>
  <c r="F84" i="55" s="1"/>
  <c r="Q83" i="55"/>
  <c r="K83" i="55"/>
  <c r="I83" i="55"/>
  <c r="H83" i="55"/>
  <c r="E83" i="55"/>
  <c r="F83" i="55" s="1"/>
  <c r="Q82" i="55"/>
  <c r="K82" i="55"/>
  <c r="I82" i="55"/>
  <c r="H82" i="55"/>
  <c r="E82" i="55"/>
  <c r="F82" i="55" s="1"/>
  <c r="Q81" i="55"/>
  <c r="K81" i="55"/>
  <c r="I81" i="55"/>
  <c r="H81" i="55"/>
  <c r="E81" i="55"/>
  <c r="F81" i="55" s="1"/>
  <c r="Q80" i="55"/>
  <c r="K80" i="55"/>
  <c r="I80" i="55"/>
  <c r="H80" i="55"/>
  <c r="E80" i="55"/>
  <c r="F80" i="55" s="1"/>
  <c r="Q79" i="55"/>
  <c r="K79" i="55"/>
  <c r="I79" i="55"/>
  <c r="H79" i="55"/>
  <c r="E79" i="55"/>
  <c r="F79" i="55" s="1"/>
  <c r="Q78" i="55"/>
  <c r="K78" i="55"/>
  <c r="I78" i="55"/>
  <c r="H78" i="55"/>
  <c r="E78" i="55"/>
  <c r="F78" i="55" s="1"/>
  <c r="Q77" i="55"/>
  <c r="K77" i="55"/>
  <c r="I77" i="55"/>
  <c r="H77" i="55"/>
  <c r="E77" i="55"/>
  <c r="F77" i="55" s="1"/>
  <c r="Q76" i="55"/>
  <c r="K76" i="55"/>
  <c r="I76" i="55"/>
  <c r="H76" i="55"/>
  <c r="E76" i="55"/>
  <c r="F76" i="55" s="1"/>
  <c r="Q75" i="55"/>
  <c r="K75" i="55"/>
  <c r="I75" i="55"/>
  <c r="H75" i="55"/>
  <c r="E75" i="55"/>
  <c r="F75" i="55" s="1"/>
  <c r="Q74" i="55"/>
  <c r="K74" i="55"/>
  <c r="I74" i="55"/>
  <c r="H74" i="55"/>
  <c r="E74" i="55"/>
  <c r="F74" i="55" s="1"/>
  <c r="Q73" i="55"/>
  <c r="K73" i="55"/>
  <c r="I73" i="55"/>
  <c r="H73" i="55"/>
  <c r="E73" i="55"/>
  <c r="F73" i="55" s="1"/>
  <c r="Q72" i="55"/>
  <c r="K72" i="55"/>
  <c r="I72" i="55"/>
  <c r="H72" i="55"/>
  <c r="E72" i="55"/>
  <c r="F72" i="55" s="1"/>
  <c r="Q71" i="55"/>
  <c r="K71" i="55"/>
  <c r="I71" i="55"/>
  <c r="H71" i="55"/>
  <c r="E71" i="55"/>
  <c r="F71" i="55" s="1"/>
  <c r="Q70" i="55"/>
  <c r="K70" i="55"/>
  <c r="I70" i="55"/>
  <c r="H70" i="55"/>
  <c r="E70" i="55"/>
  <c r="F70" i="55" s="1"/>
  <c r="Q69" i="55"/>
  <c r="K69" i="55"/>
  <c r="I69" i="55"/>
  <c r="H69" i="55"/>
  <c r="E69" i="55"/>
  <c r="F69" i="55" s="1"/>
  <c r="Q68" i="55"/>
  <c r="K68" i="55"/>
  <c r="I68" i="55"/>
  <c r="H68" i="55"/>
  <c r="E68" i="55"/>
  <c r="F68" i="55" s="1"/>
  <c r="Q67" i="55"/>
  <c r="K67" i="55"/>
  <c r="I67" i="55"/>
  <c r="H67" i="55"/>
  <c r="E67" i="55"/>
  <c r="F67" i="55" s="1"/>
  <c r="Q66" i="55"/>
  <c r="K66" i="55"/>
  <c r="I66" i="55"/>
  <c r="H66" i="55"/>
  <c r="E66" i="55"/>
  <c r="F66" i="55" s="1"/>
  <c r="Q65" i="55"/>
  <c r="K65" i="55"/>
  <c r="I65" i="55"/>
  <c r="H65" i="55"/>
  <c r="E65" i="55"/>
  <c r="F65" i="55" s="1"/>
  <c r="Q64" i="55"/>
  <c r="K64" i="55"/>
  <c r="I64" i="55"/>
  <c r="H64" i="55"/>
  <c r="E64" i="55"/>
  <c r="F64" i="55" s="1"/>
  <c r="Q63" i="55"/>
  <c r="K63" i="55"/>
  <c r="I63" i="55"/>
  <c r="H63" i="55"/>
  <c r="E63" i="55"/>
  <c r="F63" i="55" s="1"/>
  <c r="Q62" i="55"/>
  <c r="K62" i="55"/>
  <c r="I62" i="55"/>
  <c r="H62" i="55"/>
  <c r="E62" i="55"/>
  <c r="F62" i="55" s="1"/>
  <c r="Q61" i="55"/>
  <c r="K61" i="55"/>
  <c r="I61" i="55"/>
  <c r="H61" i="55"/>
  <c r="E61" i="55"/>
  <c r="F61" i="55" s="1"/>
  <c r="Q60" i="55"/>
  <c r="K60" i="55"/>
  <c r="I60" i="55"/>
  <c r="H60" i="55"/>
  <c r="E60" i="55"/>
  <c r="F60" i="55" s="1"/>
  <c r="Q59" i="55"/>
  <c r="K59" i="55"/>
  <c r="I59" i="55"/>
  <c r="H59" i="55"/>
  <c r="E59" i="55"/>
  <c r="F59" i="55" s="1"/>
  <c r="Q58" i="55"/>
  <c r="K58" i="55"/>
  <c r="I58" i="55"/>
  <c r="H58" i="55"/>
  <c r="E58" i="55"/>
  <c r="F58" i="55" s="1"/>
  <c r="Q57" i="55"/>
  <c r="K57" i="55"/>
  <c r="I57" i="55"/>
  <c r="H57" i="55"/>
  <c r="E57" i="55"/>
  <c r="F57" i="55" s="1"/>
  <c r="Q56" i="55"/>
  <c r="K56" i="55"/>
  <c r="I56" i="55"/>
  <c r="H56" i="55"/>
  <c r="E56" i="55"/>
  <c r="F56" i="55" s="1"/>
  <c r="Q55" i="55"/>
  <c r="K55" i="55"/>
  <c r="I55" i="55"/>
  <c r="H55" i="55"/>
  <c r="E55" i="55"/>
  <c r="F55" i="55" s="1"/>
  <c r="Q54" i="55"/>
  <c r="K54" i="55"/>
  <c r="I54" i="55"/>
  <c r="H54" i="55"/>
  <c r="E54" i="55"/>
  <c r="F54" i="55" s="1"/>
  <c r="Q53" i="55"/>
  <c r="K53" i="55"/>
  <c r="I53" i="55"/>
  <c r="H53" i="55"/>
  <c r="E53" i="55"/>
  <c r="F53" i="55" s="1"/>
  <c r="Q52" i="55"/>
  <c r="K52" i="55"/>
  <c r="I52" i="55"/>
  <c r="H52" i="55"/>
  <c r="E52" i="55"/>
  <c r="F52" i="55" s="1"/>
  <c r="Q51" i="55"/>
  <c r="K51" i="55"/>
  <c r="I51" i="55"/>
  <c r="H51" i="55"/>
  <c r="E51" i="55"/>
  <c r="F51" i="55" s="1"/>
  <c r="Q50" i="55"/>
  <c r="K50" i="55"/>
  <c r="I50" i="55"/>
  <c r="H50" i="55"/>
  <c r="E50" i="55"/>
  <c r="F50" i="55" s="1"/>
  <c r="Q49" i="55"/>
  <c r="K49" i="55"/>
  <c r="I49" i="55"/>
  <c r="H49" i="55"/>
  <c r="E49" i="55"/>
  <c r="F49" i="55" s="1"/>
  <c r="Q48" i="55"/>
  <c r="K48" i="55"/>
  <c r="I48" i="55"/>
  <c r="H48" i="55"/>
  <c r="E48" i="55"/>
  <c r="F48" i="55" s="1"/>
  <c r="Q47" i="55"/>
  <c r="K47" i="55"/>
  <c r="I47" i="55"/>
  <c r="H47" i="55"/>
  <c r="E47" i="55"/>
  <c r="F47" i="55" s="1"/>
  <c r="Q46" i="55"/>
  <c r="K46" i="55"/>
  <c r="I46" i="55"/>
  <c r="H46" i="55"/>
  <c r="E46" i="55"/>
  <c r="F46" i="55" s="1"/>
  <c r="Q45" i="55"/>
  <c r="K45" i="55"/>
  <c r="I45" i="55"/>
  <c r="H45" i="55"/>
  <c r="E45" i="55"/>
  <c r="F45" i="55" s="1"/>
  <c r="Q44" i="55"/>
  <c r="K44" i="55"/>
  <c r="I44" i="55"/>
  <c r="H44" i="55"/>
  <c r="E44" i="55"/>
  <c r="F44" i="55" s="1"/>
  <c r="Q43" i="55"/>
  <c r="K43" i="55"/>
  <c r="I43" i="55"/>
  <c r="H43" i="55"/>
  <c r="E43" i="55"/>
  <c r="F43" i="55" s="1"/>
  <c r="Q42" i="55"/>
  <c r="K42" i="55"/>
  <c r="I42" i="55"/>
  <c r="H42" i="55"/>
  <c r="E42" i="55"/>
  <c r="F42" i="55" s="1"/>
  <c r="Q41" i="55"/>
  <c r="K41" i="55"/>
  <c r="I41" i="55"/>
  <c r="H41" i="55"/>
  <c r="E41" i="55"/>
  <c r="F41" i="55" s="1"/>
  <c r="Q40" i="55"/>
  <c r="K40" i="55"/>
  <c r="I40" i="55"/>
  <c r="H40" i="55"/>
  <c r="E40" i="55"/>
  <c r="F40" i="55" s="1"/>
  <c r="Q39" i="55"/>
  <c r="K39" i="55"/>
  <c r="I39" i="55"/>
  <c r="H39" i="55"/>
  <c r="E39" i="55"/>
  <c r="F39" i="55" s="1"/>
  <c r="Q38" i="55"/>
  <c r="K38" i="55"/>
  <c r="I38" i="55"/>
  <c r="H38" i="55"/>
  <c r="E38" i="55"/>
  <c r="F38" i="55" s="1"/>
  <c r="Q37" i="55"/>
  <c r="K37" i="55"/>
  <c r="I37" i="55"/>
  <c r="H37" i="55"/>
  <c r="E37" i="55"/>
  <c r="F37" i="55" s="1"/>
  <c r="Q36" i="55"/>
  <c r="K36" i="55"/>
  <c r="I36" i="55"/>
  <c r="H36" i="55"/>
  <c r="E36" i="55"/>
  <c r="F36" i="55" s="1"/>
  <c r="Q35" i="55"/>
  <c r="K35" i="55"/>
  <c r="I35" i="55"/>
  <c r="H35" i="55"/>
  <c r="E35" i="55"/>
  <c r="F35" i="55" s="1"/>
  <c r="Q34" i="55"/>
  <c r="K34" i="55"/>
  <c r="N34" i="55" s="1"/>
  <c r="N171" i="55" s="1"/>
  <c r="I34" i="55"/>
  <c r="I171" i="55" s="1"/>
  <c r="H34" i="55"/>
  <c r="H171" i="55" s="1"/>
  <c r="E34" i="55"/>
  <c r="E171" i="55" s="1"/>
  <c r="K33" i="55"/>
  <c r="N33" i="55" s="1"/>
  <c r="I33" i="55"/>
  <c r="J33" i="55" s="1"/>
  <c r="H33" i="55"/>
  <c r="E33" i="55"/>
  <c r="F33" i="55" s="1"/>
  <c r="K32" i="55"/>
  <c r="N32" i="55" s="1"/>
  <c r="N170" i="55" s="1"/>
  <c r="I32" i="55"/>
  <c r="H32" i="55"/>
  <c r="E32" i="55"/>
  <c r="E170" i="55" s="1"/>
  <c r="K31" i="55"/>
  <c r="N31" i="55" s="1"/>
  <c r="I31" i="55"/>
  <c r="J31" i="55" s="1"/>
  <c r="H31" i="55"/>
  <c r="E31" i="55"/>
  <c r="F31" i="55" s="1"/>
  <c r="K30" i="55"/>
  <c r="N30" i="55" s="1"/>
  <c r="I30" i="55"/>
  <c r="J30" i="55" s="1"/>
  <c r="H30" i="55"/>
  <c r="E30" i="55"/>
  <c r="F30" i="55" s="1"/>
  <c r="K29" i="55"/>
  <c r="N29" i="55" s="1"/>
  <c r="I29" i="55"/>
  <c r="J29" i="55" s="1"/>
  <c r="H29" i="55"/>
  <c r="E29" i="55"/>
  <c r="F29" i="55" s="1"/>
  <c r="K28" i="55"/>
  <c r="N28" i="55" s="1"/>
  <c r="I28" i="55"/>
  <c r="J28" i="55" s="1"/>
  <c r="H28" i="55"/>
  <c r="E28" i="55"/>
  <c r="F28" i="55" s="1"/>
  <c r="K27" i="55"/>
  <c r="N27" i="55" s="1"/>
  <c r="I27" i="55"/>
  <c r="J27" i="55" s="1"/>
  <c r="H27" i="55"/>
  <c r="E27" i="55"/>
  <c r="F27" i="55" s="1"/>
  <c r="K26" i="55"/>
  <c r="N26" i="55" s="1"/>
  <c r="I26" i="55"/>
  <c r="J26" i="55" s="1"/>
  <c r="H26" i="55"/>
  <c r="E26" i="55"/>
  <c r="F26" i="55" s="1"/>
  <c r="K25" i="55"/>
  <c r="N25" i="55" s="1"/>
  <c r="I25" i="55"/>
  <c r="J25" i="55" s="1"/>
  <c r="H25" i="55"/>
  <c r="E25" i="55"/>
  <c r="F25" i="55" s="1"/>
  <c r="K24" i="55"/>
  <c r="N24" i="55" s="1"/>
  <c r="I24" i="55"/>
  <c r="J24" i="55" s="1"/>
  <c r="H24" i="55"/>
  <c r="E24" i="55"/>
  <c r="F24" i="55" s="1"/>
  <c r="K23" i="55"/>
  <c r="N23" i="55" s="1"/>
  <c r="I23" i="55"/>
  <c r="J23" i="55" s="1"/>
  <c r="H23" i="55"/>
  <c r="E23" i="55"/>
  <c r="F23" i="55" s="1"/>
  <c r="K22" i="55"/>
  <c r="N22" i="55" s="1"/>
  <c r="I22" i="55"/>
  <c r="J22" i="55" s="1"/>
  <c r="H22" i="55"/>
  <c r="E22" i="55"/>
  <c r="F22" i="55" s="1"/>
  <c r="K21" i="55"/>
  <c r="I21" i="55"/>
  <c r="I169" i="55" s="1"/>
  <c r="H21" i="55"/>
  <c r="H169" i="55" s="1"/>
  <c r="E21" i="55"/>
  <c r="K20" i="55"/>
  <c r="N20" i="55" s="1"/>
  <c r="I20" i="55"/>
  <c r="J20" i="55" s="1"/>
  <c r="H20" i="55"/>
  <c r="E20" i="55"/>
  <c r="F20" i="55" s="1"/>
  <c r="K19" i="55"/>
  <c r="N19" i="55" s="1"/>
  <c r="I19" i="55"/>
  <c r="J19" i="55" s="1"/>
  <c r="H19" i="55"/>
  <c r="E19" i="55"/>
  <c r="F19" i="55" s="1"/>
  <c r="K18" i="55"/>
  <c r="N18" i="55" s="1"/>
  <c r="I18" i="55"/>
  <c r="J18" i="55" s="1"/>
  <c r="H18" i="55"/>
  <c r="E18" i="55"/>
  <c r="E168" i="55" s="1"/>
  <c r="K17" i="55"/>
  <c r="N17" i="55" s="1"/>
  <c r="I17" i="55"/>
  <c r="J17" i="55" s="1"/>
  <c r="H17" i="55"/>
  <c r="E17" i="55"/>
  <c r="F17" i="55" s="1"/>
  <c r="K16" i="55"/>
  <c r="N16" i="55" s="1"/>
  <c r="I16" i="55"/>
  <c r="J16" i="55" s="1"/>
  <c r="H16" i="55"/>
  <c r="E16" i="55"/>
  <c r="F16" i="55" s="1"/>
  <c r="K15" i="55"/>
  <c r="N15" i="55" s="1"/>
  <c r="I15" i="55"/>
  <c r="J15" i="55" s="1"/>
  <c r="H15" i="55"/>
  <c r="E15" i="55"/>
  <c r="F15" i="55" s="1"/>
  <c r="Q14" i="55"/>
  <c r="K14" i="55"/>
  <c r="N14" i="55" s="1"/>
  <c r="I14" i="55"/>
  <c r="J14" i="55" s="1"/>
  <c r="H14" i="55"/>
  <c r="E14" i="55"/>
  <c r="F14" i="55" s="1"/>
  <c r="P13" i="55"/>
  <c r="N13" i="55"/>
  <c r="K13" i="55"/>
  <c r="I13" i="55"/>
  <c r="J13" i="55" s="1"/>
  <c r="H13" i="55"/>
  <c r="E13" i="55"/>
  <c r="F13" i="55" s="1"/>
  <c r="Q12" i="55"/>
  <c r="K12" i="55"/>
  <c r="P12" i="55" s="1"/>
  <c r="I12" i="55"/>
  <c r="J12" i="55" s="1"/>
  <c r="H12" i="55"/>
  <c r="E12" i="55"/>
  <c r="F12" i="55" s="1"/>
  <c r="K11" i="55"/>
  <c r="P11" i="55" s="1"/>
  <c r="I11" i="55"/>
  <c r="J11" i="55" s="1"/>
  <c r="H11" i="55"/>
  <c r="E11" i="55"/>
  <c r="F11" i="55" s="1"/>
  <c r="K10" i="55"/>
  <c r="P10" i="55" s="1"/>
  <c r="I10" i="55"/>
  <c r="H10" i="55"/>
  <c r="E10" i="55"/>
  <c r="F10" i="55" s="1"/>
  <c r="K9" i="55"/>
  <c r="P9" i="55" s="1"/>
  <c r="I9" i="55"/>
  <c r="J9" i="55" s="1"/>
  <c r="H9" i="55"/>
  <c r="E9" i="55"/>
  <c r="F9" i="55" s="1"/>
  <c r="G8" i="55"/>
  <c r="K8" i="55" s="1"/>
  <c r="P14" i="55" l="1"/>
  <c r="R52" i="56"/>
  <c r="H8" i="55"/>
  <c r="H142" i="55" s="1"/>
  <c r="H167" i="55"/>
  <c r="F18" i="55"/>
  <c r="F168" i="55" s="1"/>
  <c r="P18" i="55"/>
  <c r="P20" i="55"/>
  <c r="P24" i="55"/>
  <c r="P34" i="55"/>
  <c r="P171" i="55" s="1"/>
  <c r="G166" i="55"/>
  <c r="Q167" i="55"/>
  <c r="H168" i="55"/>
  <c r="E169" i="55"/>
  <c r="K169" i="55"/>
  <c r="H170" i="55"/>
  <c r="Q171" i="55"/>
  <c r="Q142" i="55"/>
  <c r="K170" i="55"/>
  <c r="F167" i="55"/>
  <c r="P16" i="55"/>
  <c r="P167" i="55" s="1"/>
  <c r="P22" i="55"/>
  <c r="P26" i="55"/>
  <c r="P28" i="55"/>
  <c r="P30" i="55"/>
  <c r="F32" i="55"/>
  <c r="F170" i="55" s="1"/>
  <c r="P32" i="55"/>
  <c r="F34" i="55"/>
  <c r="F171" i="55" s="1"/>
  <c r="I167" i="55"/>
  <c r="E167" i="55"/>
  <c r="P15" i="55"/>
  <c r="P17" i="55"/>
  <c r="J168" i="55"/>
  <c r="P19" i="55"/>
  <c r="F21" i="55"/>
  <c r="F169" i="55" s="1"/>
  <c r="P21" i="55"/>
  <c r="P23" i="55"/>
  <c r="P25" i="55"/>
  <c r="P27" i="55"/>
  <c r="P29" i="55"/>
  <c r="P31" i="55"/>
  <c r="I170" i="55"/>
  <c r="P33" i="55"/>
  <c r="Q52" i="56"/>
  <c r="N168" i="55"/>
  <c r="K142" i="55"/>
  <c r="P8" i="55"/>
  <c r="K166" i="55"/>
  <c r="N8" i="55"/>
  <c r="N142" i="55" s="1"/>
  <c r="I168" i="55"/>
  <c r="E8" i="55"/>
  <c r="I8" i="55"/>
  <c r="N9" i="55"/>
  <c r="N10" i="55"/>
  <c r="N11" i="55"/>
  <c r="N12" i="55"/>
  <c r="J21" i="55"/>
  <c r="J169" i="55" s="1"/>
  <c r="J32" i="55"/>
  <c r="J170" i="55" s="1"/>
  <c r="J34" i="55"/>
  <c r="J171" i="55" s="1"/>
  <c r="G142" i="55"/>
  <c r="H166" i="55"/>
  <c r="K167" i="55"/>
  <c r="K171" i="55"/>
  <c r="Q166" i="55"/>
  <c r="K168" i="55"/>
  <c r="J10" i="55"/>
  <c r="J167" i="55" s="1"/>
  <c r="N21" i="55"/>
  <c r="N169" i="55" s="1"/>
  <c r="T49" i="54"/>
  <c r="S49" i="54"/>
  <c r="O49" i="54"/>
  <c r="M49" i="54"/>
  <c r="L49" i="54"/>
  <c r="J49" i="54"/>
  <c r="I49" i="54"/>
  <c r="G49" i="54"/>
  <c r="E49" i="54"/>
  <c r="U48" i="54"/>
  <c r="U49" i="54" s="1"/>
  <c r="P48" i="54"/>
  <c r="P49" i="54" s="1"/>
  <c r="N48" i="54"/>
  <c r="N49" i="54" s="1"/>
  <c r="K48" i="54"/>
  <c r="T45" i="54"/>
  <c r="S45" i="54"/>
  <c r="O45" i="54"/>
  <c r="N45" i="54"/>
  <c r="M45" i="54"/>
  <c r="L45" i="54"/>
  <c r="J45" i="54"/>
  <c r="I45" i="54"/>
  <c r="G45" i="54"/>
  <c r="E45" i="54"/>
  <c r="U44" i="54"/>
  <c r="P44" i="54"/>
  <c r="K44" i="54"/>
  <c r="U43" i="54"/>
  <c r="P43" i="54"/>
  <c r="Q43" i="54" s="1"/>
  <c r="K43" i="54"/>
  <c r="T40" i="54"/>
  <c r="S40" i="54"/>
  <c r="O40" i="54"/>
  <c r="M40" i="54"/>
  <c r="L40" i="54"/>
  <c r="J40" i="54"/>
  <c r="I40" i="54"/>
  <c r="G40" i="54"/>
  <c r="E40" i="54"/>
  <c r="U39" i="54"/>
  <c r="P39" i="54"/>
  <c r="N39" i="54"/>
  <c r="K39" i="54"/>
  <c r="U38" i="54"/>
  <c r="P38" i="54"/>
  <c r="N38" i="54"/>
  <c r="Q38" i="54" s="1"/>
  <c r="K38" i="54"/>
  <c r="U37" i="54"/>
  <c r="P37" i="54"/>
  <c r="Q37" i="54" s="1"/>
  <c r="K37" i="54"/>
  <c r="U36" i="54"/>
  <c r="P36" i="54"/>
  <c r="N36" i="54"/>
  <c r="Q36" i="54" s="1"/>
  <c r="K36" i="54"/>
  <c r="U35" i="54"/>
  <c r="P35" i="54"/>
  <c r="N35" i="54"/>
  <c r="K35" i="54"/>
  <c r="U34" i="54"/>
  <c r="P34" i="54"/>
  <c r="N34" i="54"/>
  <c r="K34" i="54"/>
  <c r="U33" i="54"/>
  <c r="P33" i="54"/>
  <c r="Q33" i="54" s="1"/>
  <c r="K33" i="54"/>
  <c r="U32" i="54"/>
  <c r="P32" i="54"/>
  <c r="N32" i="54"/>
  <c r="Q32" i="54" s="1"/>
  <c r="K32" i="54"/>
  <c r="U31" i="54"/>
  <c r="P31" i="54"/>
  <c r="N31" i="54"/>
  <c r="K31" i="54"/>
  <c r="U30" i="54"/>
  <c r="P30" i="54"/>
  <c r="Q30" i="54" s="1"/>
  <c r="K30" i="54"/>
  <c r="U29" i="54"/>
  <c r="P29" i="54"/>
  <c r="N29" i="54"/>
  <c r="K29" i="54"/>
  <c r="T26" i="54"/>
  <c r="S26" i="54"/>
  <c r="O26" i="54"/>
  <c r="M26" i="54"/>
  <c r="L26" i="54"/>
  <c r="J26" i="54"/>
  <c r="I26" i="54"/>
  <c r="G26" i="54"/>
  <c r="E26" i="54"/>
  <c r="U25" i="54"/>
  <c r="P25" i="54"/>
  <c r="N25" i="54"/>
  <c r="Q25" i="54" s="1"/>
  <c r="K25" i="54"/>
  <c r="U24" i="54"/>
  <c r="P24" i="54"/>
  <c r="N24" i="54"/>
  <c r="N26" i="54" s="1"/>
  <c r="K24" i="54"/>
  <c r="U23" i="54"/>
  <c r="U26" i="54" s="1"/>
  <c r="P23" i="54"/>
  <c r="Q23" i="54" s="1"/>
  <c r="K23" i="54"/>
  <c r="T20" i="54"/>
  <c r="S20" i="54"/>
  <c r="O20" i="54"/>
  <c r="M20" i="54"/>
  <c r="L20" i="54"/>
  <c r="J20" i="54"/>
  <c r="I20" i="54"/>
  <c r="G20" i="54"/>
  <c r="E20" i="54"/>
  <c r="U19" i="54"/>
  <c r="P19" i="54"/>
  <c r="N19" i="54"/>
  <c r="Q19" i="54" s="1"/>
  <c r="K19" i="54"/>
  <c r="U18" i="54"/>
  <c r="P18" i="54"/>
  <c r="N18" i="54"/>
  <c r="Q18" i="54" s="1"/>
  <c r="K18" i="54"/>
  <c r="U17" i="54"/>
  <c r="P17" i="54"/>
  <c r="Q17" i="54" s="1"/>
  <c r="K17" i="54"/>
  <c r="U16" i="54"/>
  <c r="P16" i="54"/>
  <c r="N16" i="54"/>
  <c r="Q16" i="54" s="1"/>
  <c r="K16" i="54"/>
  <c r="U15" i="54"/>
  <c r="P15" i="54"/>
  <c r="N15" i="54"/>
  <c r="K15" i="54"/>
  <c r="U14" i="54"/>
  <c r="Q14" i="54"/>
  <c r="K14" i="54"/>
  <c r="R14" i="54" s="1"/>
  <c r="U13" i="54"/>
  <c r="P13" i="54"/>
  <c r="Q13" i="54" s="1"/>
  <c r="K13" i="54"/>
  <c r="U12" i="54"/>
  <c r="U20" i="54" s="1"/>
  <c r="P12" i="54"/>
  <c r="N12" i="54"/>
  <c r="K12" i="54"/>
  <c r="T9" i="54"/>
  <c r="T52" i="54" s="1"/>
  <c r="S9" i="54"/>
  <c r="O9" i="54"/>
  <c r="M9" i="54"/>
  <c r="L9" i="54"/>
  <c r="L52" i="54" s="1"/>
  <c r="J9" i="54"/>
  <c r="I9" i="54"/>
  <c r="G9" i="54"/>
  <c r="E9" i="54"/>
  <c r="E52" i="54" s="1"/>
  <c r="U8" i="54"/>
  <c r="P8" i="54"/>
  <c r="N8" i="54"/>
  <c r="K8" i="54"/>
  <c r="U7" i="54"/>
  <c r="P7" i="54"/>
  <c r="N7" i="54"/>
  <c r="Q7" i="54" s="1"/>
  <c r="K7" i="54"/>
  <c r="R13" i="54" l="1"/>
  <c r="P20" i="54"/>
  <c r="R33" i="54"/>
  <c r="Q35" i="54"/>
  <c r="R35" i="54" s="1"/>
  <c r="U45" i="54"/>
  <c r="P168" i="55"/>
  <c r="M52" i="54"/>
  <c r="Q31" i="54"/>
  <c r="R31" i="54" s="1"/>
  <c r="P170" i="55"/>
  <c r="P9" i="54"/>
  <c r="N9" i="54"/>
  <c r="G52" i="54"/>
  <c r="K20" i="54"/>
  <c r="R23" i="54"/>
  <c r="K26" i="54"/>
  <c r="R25" i="54"/>
  <c r="P26" i="54"/>
  <c r="Q29" i="54"/>
  <c r="R32" i="54"/>
  <c r="Q39" i="54"/>
  <c r="R39" i="54" s="1"/>
  <c r="R43" i="54"/>
  <c r="Q48" i="54"/>
  <c r="Q49" i="54" s="1"/>
  <c r="O52" i="54"/>
  <c r="N20" i="54"/>
  <c r="R16" i="54"/>
  <c r="P40" i="54"/>
  <c r="P45" i="54"/>
  <c r="U9" i="54"/>
  <c r="J52" i="54"/>
  <c r="S52" i="54"/>
  <c r="Q15" i="54"/>
  <c r="R17" i="54"/>
  <c r="U40" i="54"/>
  <c r="Q34" i="54"/>
  <c r="R34" i="54" s="1"/>
  <c r="R37" i="54"/>
  <c r="K49" i="54"/>
  <c r="P142" i="55"/>
  <c r="P169" i="55"/>
  <c r="I142" i="55"/>
  <c r="I166" i="55"/>
  <c r="J8" i="55"/>
  <c r="N166" i="55"/>
  <c r="E142" i="55"/>
  <c r="F8" i="55"/>
  <c r="E166" i="55"/>
  <c r="N167" i="55"/>
  <c r="P166" i="55"/>
  <c r="R7" i="54"/>
  <c r="R19" i="54"/>
  <c r="R38" i="54"/>
  <c r="Q44" i="54"/>
  <c r="R30" i="54"/>
  <c r="I52" i="54"/>
  <c r="R15" i="54"/>
  <c r="U52" i="54"/>
  <c r="R18" i="54"/>
  <c r="R36" i="54"/>
  <c r="R29" i="54"/>
  <c r="Q8" i="54"/>
  <c r="Q9" i="54" s="1"/>
  <c r="K40" i="54"/>
  <c r="K9" i="54"/>
  <c r="N40" i="54"/>
  <c r="Q12" i="54"/>
  <c r="Q24" i="54"/>
  <c r="Q26" i="54" s="1"/>
  <c r="K45" i="54"/>
  <c r="U49" i="53"/>
  <c r="T49" i="53"/>
  <c r="S49" i="53"/>
  <c r="O49" i="53"/>
  <c r="M49" i="53"/>
  <c r="L49" i="53"/>
  <c r="J49" i="53"/>
  <c r="I49" i="53"/>
  <c r="G49" i="53"/>
  <c r="E49" i="53"/>
  <c r="U48" i="53"/>
  <c r="P48" i="53"/>
  <c r="P49" i="53" s="1"/>
  <c r="N48" i="53"/>
  <c r="N49" i="53" s="1"/>
  <c r="K48" i="53"/>
  <c r="K49" i="53" s="1"/>
  <c r="T45" i="53"/>
  <c r="S45" i="53"/>
  <c r="O45" i="53"/>
  <c r="N45" i="53"/>
  <c r="M45" i="53"/>
  <c r="L45" i="53"/>
  <c r="J45" i="53"/>
  <c r="I45" i="53"/>
  <c r="G45" i="53"/>
  <c r="E45" i="53"/>
  <c r="U44" i="53"/>
  <c r="K44" i="53"/>
  <c r="U43" i="53"/>
  <c r="P43" i="53"/>
  <c r="K43" i="53"/>
  <c r="K45" i="53" s="1"/>
  <c r="T40" i="53"/>
  <c r="S40" i="53"/>
  <c r="O40" i="53"/>
  <c r="M40" i="53"/>
  <c r="L40" i="53"/>
  <c r="J40" i="53"/>
  <c r="I40" i="53"/>
  <c r="G40" i="53"/>
  <c r="E40" i="53"/>
  <c r="U39" i="53"/>
  <c r="P39" i="53"/>
  <c r="N39" i="53"/>
  <c r="K39" i="53"/>
  <c r="U38" i="53"/>
  <c r="P38" i="53"/>
  <c r="N38" i="53"/>
  <c r="Q38" i="53" s="1"/>
  <c r="K38" i="53"/>
  <c r="U37" i="53"/>
  <c r="P37" i="53"/>
  <c r="Q37" i="53" s="1"/>
  <c r="K37" i="53"/>
  <c r="U36" i="53"/>
  <c r="P36" i="53"/>
  <c r="N36" i="53"/>
  <c r="Q36" i="53" s="1"/>
  <c r="K36" i="53"/>
  <c r="U35" i="53"/>
  <c r="P35" i="53"/>
  <c r="N35" i="53"/>
  <c r="Q35" i="53" s="1"/>
  <c r="K35" i="53"/>
  <c r="U34" i="53"/>
  <c r="P34" i="53"/>
  <c r="N34" i="53"/>
  <c r="K34" i="53"/>
  <c r="U33" i="53"/>
  <c r="P33" i="53"/>
  <c r="Q33" i="53" s="1"/>
  <c r="K33" i="53"/>
  <c r="U32" i="53"/>
  <c r="P32" i="53"/>
  <c r="N32" i="53"/>
  <c r="K32" i="53"/>
  <c r="U31" i="53"/>
  <c r="P31" i="53"/>
  <c r="N31" i="53"/>
  <c r="K31" i="53"/>
  <c r="U30" i="53"/>
  <c r="P30" i="53"/>
  <c r="Q30" i="53" s="1"/>
  <c r="K30" i="53"/>
  <c r="U29" i="53"/>
  <c r="P29" i="53"/>
  <c r="N29" i="53"/>
  <c r="K29" i="53"/>
  <c r="U26" i="53"/>
  <c r="T26" i="53"/>
  <c r="S26" i="53"/>
  <c r="O26" i="53"/>
  <c r="M26" i="53"/>
  <c r="L26" i="53"/>
  <c r="J26" i="53"/>
  <c r="I26" i="53"/>
  <c r="G26" i="53"/>
  <c r="E26" i="53"/>
  <c r="U25" i="53"/>
  <c r="P25" i="53"/>
  <c r="N25" i="53"/>
  <c r="Q25" i="53" s="1"/>
  <c r="K25" i="53"/>
  <c r="U24" i="53"/>
  <c r="P24" i="53"/>
  <c r="N24" i="53"/>
  <c r="K24" i="53"/>
  <c r="U23" i="53"/>
  <c r="P23" i="53"/>
  <c r="P26" i="53" s="1"/>
  <c r="K23" i="53"/>
  <c r="T20" i="53"/>
  <c r="S20" i="53"/>
  <c r="O20" i="53"/>
  <c r="M20" i="53"/>
  <c r="L20" i="53"/>
  <c r="J20" i="53"/>
  <c r="I20" i="53"/>
  <c r="G20" i="53"/>
  <c r="E20" i="53"/>
  <c r="U19" i="53"/>
  <c r="P19" i="53"/>
  <c r="N19" i="53"/>
  <c r="Q19" i="53" s="1"/>
  <c r="K19" i="53"/>
  <c r="U18" i="53"/>
  <c r="P18" i="53"/>
  <c r="N18" i="53"/>
  <c r="K18" i="53"/>
  <c r="U17" i="53"/>
  <c r="P17" i="53"/>
  <c r="Q17" i="53" s="1"/>
  <c r="K17" i="53"/>
  <c r="U16" i="53"/>
  <c r="P16" i="53"/>
  <c r="N16" i="53"/>
  <c r="Q16" i="53" s="1"/>
  <c r="K16" i="53"/>
  <c r="R16" i="53" s="1"/>
  <c r="U15" i="53"/>
  <c r="P15" i="53"/>
  <c r="N15" i="53"/>
  <c r="K15" i="53"/>
  <c r="U14" i="53"/>
  <c r="Q14" i="53"/>
  <c r="K14" i="53"/>
  <c r="R14" i="53" s="1"/>
  <c r="U13" i="53"/>
  <c r="P13" i="53"/>
  <c r="Q13" i="53" s="1"/>
  <c r="K13" i="53"/>
  <c r="U12" i="53"/>
  <c r="P12" i="53"/>
  <c r="N12" i="53"/>
  <c r="K12" i="53"/>
  <c r="T9" i="53"/>
  <c r="T52" i="53" s="1"/>
  <c r="S9" i="53"/>
  <c r="O9" i="53"/>
  <c r="M9" i="53"/>
  <c r="L9" i="53"/>
  <c r="J9" i="53"/>
  <c r="I9" i="53"/>
  <c r="G9" i="53"/>
  <c r="E9" i="53"/>
  <c r="U8" i="53"/>
  <c r="P8" i="53"/>
  <c r="N8" i="53"/>
  <c r="K8" i="53"/>
  <c r="U7" i="53"/>
  <c r="U9" i="53" s="1"/>
  <c r="P7" i="53"/>
  <c r="P9" i="53" s="1"/>
  <c r="N7" i="53"/>
  <c r="N9" i="53" s="1"/>
  <c r="K7" i="53"/>
  <c r="K9" i="53" s="1"/>
  <c r="R30" i="53" l="1"/>
  <c r="Q32" i="53"/>
  <c r="Q34" i="53"/>
  <c r="N20" i="53"/>
  <c r="G52" i="53"/>
  <c r="M52" i="53"/>
  <c r="Q8" i="53"/>
  <c r="P40" i="53"/>
  <c r="Q20" i="54"/>
  <c r="U20" i="53"/>
  <c r="O52" i="53"/>
  <c r="R13" i="53"/>
  <c r="Q39" i="53"/>
  <c r="R12" i="54"/>
  <c r="R8" i="53"/>
  <c r="R17" i="53"/>
  <c r="R34" i="53"/>
  <c r="U45" i="53"/>
  <c r="K20" i="53"/>
  <c r="Q29" i="53"/>
  <c r="R37" i="53"/>
  <c r="N52" i="54"/>
  <c r="J52" i="53"/>
  <c r="Q18" i="53"/>
  <c r="Q24" i="53"/>
  <c r="U40" i="53"/>
  <c r="U52" i="53" s="1"/>
  <c r="R32" i="53"/>
  <c r="R33" i="53"/>
  <c r="Q40" i="54"/>
  <c r="P52" i="54"/>
  <c r="E52" i="53"/>
  <c r="L52" i="53"/>
  <c r="S52" i="53"/>
  <c r="P20" i="53"/>
  <c r="Q15" i="53"/>
  <c r="R15" i="53" s="1"/>
  <c r="N40" i="53"/>
  <c r="Q31" i="53"/>
  <c r="R31" i="53" s="1"/>
  <c r="R35" i="53"/>
  <c r="R36" i="53"/>
  <c r="R38" i="53"/>
  <c r="R48" i="54"/>
  <c r="R49" i="54" s="1"/>
  <c r="F166" i="55"/>
  <c r="F142" i="55"/>
  <c r="J166" i="55"/>
  <c r="J142" i="55"/>
  <c r="R44" i="54"/>
  <c r="R45" i="54" s="1"/>
  <c r="Q45" i="54"/>
  <c r="R40" i="54"/>
  <c r="R24" i="54"/>
  <c r="R26" i="54" s="1"/>
  <c r="K52" i="54"/>
  <c r="R8" i="54"/>
  <c r="R9" i="54" s="1"/>
  <c r="R20" i="54"/>
  <c r="I52" i="53"/>
  <c r="K40" i="53"/>
  <c r="K26" i="53"/>
  <c r="R39" i="53"/>
  <c r="R18" i="53"/>
  <c r="R19" i="53"/>
  <c r="R25" i="53"/>
  <c r="Q12" i="53"/>
  <c r="N26" i="53"/>
  <c r="N52" i="53" s="1"/>
  <c r="Q43" i="53"/>
  <c r="P44" i="53"/>
  <c r="Q44" i="53" s="1"/>
  <c r="R44" i="53" s="1"/>
  <c r="Q7" i="53"/>
  <c r="Q9" i="53" s="1"/>
  <c r="R12" i="53"/>
  <c r="R24" i="53"/>
  <c r="R7" i="53"/>
  <c r="Q23" i="53"/>
  <c r="Q48" i="53"/>
  <c r="Q49" i="53" s="1"/>
  <c r="P15" i="52"/>
  <c r="T49" i="52"/>
  <c r="S49" i="52"/>
  <c r="O49" i="52"/>
  <c r="M49" i="52"/>
  <c r="L49" i="52"/>
  <c r="J49" i="52"/>
  <c r="I49" i="52"/>
  <c r="G49" i="52"/>
  <c r="E49" i="52"/>
  <c r="U48" i="52"/>
  <c r="U49" i="52" s="1"/>
  <c r="P48" i="52"/>
  <c r="P49" i="52" s="1"/>
  <c r="N48" i="52"/>
  <c r="Q48" i="52" s="1"/>
  <c r="Q49" i="52" s="1"/>
  <c r="K48" i="52"/>
  <c r="K49" i="52" s="1"/>
  <c r="T45" i="52"/>
  <c r="S45" i="52"/>
  <c r="O45" i="52"/>
  <c r="N45" i="52"/>
  <c r="M45" i="52"/>
  <c r="L45" i="52"/>
  <c r="J45" i="52"/>
  <c r="I45" i="52"/>
  <c r="G45" i="52"/>
  <c r="E45" i="52"/>
  <c r="U44" i="52"/>
  <c r="K44" i="52"/>
  <c r="U43" i="52"/>
  <c r="P43" i="52"/>
  <c r="K43" i="52"/>
  <c r="T40" i="52"/>
  <c r="S40" i="52"/>
  <c r="O40" i="52"/>
  <c r="M40" i="52"/>
  <c r="L40" i="52"/>
  <c r="J40" i="52"/>
  <c r="I40" i="52"/>
  <c r="G40" i="52"/>
  <c r="E40" i="52"/>
  <c r="U39" i="52"/>
  <c r="P39" i="52"/>
  <c r="N39" i="52"/>
  <c r="K39" i="52"/>
  <c r="U38" i="52"/>
  <c r="P38" i="52"/>
  <c r="N38" i="52"/>
  <c r="Q38" i="52" s="1"/>
  <c r="K38" i="52"/>
  <c r="U37" i="52"/>
  <c r="P37" i="52"/>
  <c r="Q37" i="52" s="1"/>
  <c r="K37" i="52"/>
  <c r="R37" i="52" s="1"/>
  <c r="U36" i="52"/>
  <c r="P36" i="52"/>
  <c r="N36" i="52"/>
  <c r="K36" i="52"/>
  <c r="U35" i="52"/>
  <c r="P35" i="52"/>
  <c r="N35" i="52"/>
  <c r="K35" i="52"/>
  <c r="U34" i="52"/>
  <c r="P34" i="52"/>
  <c r="Q34" i="52" s="1"/>
  <c r="N34" i="52"/>
  <c r="K34" i="52"/>
  <c r="U33" i="52"/>
  <c r="P33" i="52"/>
  <c r="Q33" i="52" s="1"/>
  <c r="K33" i="52"/>
  <c r="U32" i="52"/>
  <c r="P32" i="52"/>
  <c r="N32" i="52"/>
  <c r="K32" i="52"/>
  <c r="U31" i="52"/>
  <c r="P31" i="52"/>
  <c r="N31" i="52"/>
  <c r="Q31" i="52" s="1"/>
  <c r="K31" i="52"/>
  <c r="U30" i="52"/>
  <c r="P30" i="52"/>
  <c r="K30" i="52"/>
  <c r="U29" i="52"/>
  <c r="P29" i="52"/>
  <c r="N29" i="52"/>
  <c r="K29" i="52"/>
  <c r="T26" i="52"/>
  <c r="S26" i="52"/>
  <c r="O26" i="52"/>
  <c r="M26" i="52"/>
  <c r="L26" i="52"/>
  <c r="J26" i="52"/>
  <c r="I26" i="52"/>
  <c r="G26" i="52"/>
  <c r="E26" i="52"/>
  <c r="U25" i="52"/>
  <c r="P25" i="52"/>
  <c r="N25" i="52"/>
  <c r="Q25" i="52" s="1"/>
  <c r="K25" i="52"/>
  <c r="U24" i="52"/>
  <c r="P24" i="52"/>
  <c r="N24" i="52"/>
  <c r="K24" i="52"/>
  <c r="U23" i="52"/>
  <c r="U26" i="52" s="1"/>
  <c r="P23" i="52"/>
  <c r="P26" i="52" s="1"/>
  <c r="K23" i="52"/>
  <c r="K26" i="52" s="1"/>
  <c r="T20" i="52"/>
  <c r="S20" i="52"/>
  <c r="O20" i="52"/>
  <c r="M20" i="52"/>
  <c r="L20" i="52"/>
  <c r="J20" i="52"/>
  <c r="I20" i="52"/>
  <c r="G20" i="52"/>
  <c r="E20" i="52"/>
  <c r="U19" i="52"/>
  <c r="P19" i="52"/>
  <c r="N19" i="52"/>
  <c r="Q19" i="52" s="1"/>
  <c r="K19" i="52"/>
  <c r="U18" i="52"/>
  <c r="P18" i="52"/>
  <c r="N18" i="52"/>
  <c r="K18" i="52"/>
  <c r="U17" i="52"/>
  <c r="P17" i="52"/>
  <c r="Q17" i="52" s="1"/>
  <c r="K17" i="52"/>
  <c r="U16" i="52"/>
  <c r="P16" i="52"/>
  <c r="N16" i="52"/>
  <c r="K16" i="52"/>
  <c r="U15" i="52"/>
  <c r="N15" i="52"/>
  <c r="Q15" i="52" s="1"/>
  <c r="K15" i="52"/>
  <c r="U14" i="52"/>
  <c r="Q14" i="52"/>
  <c r="K14" i="52"/>
  <c r="R14" i="52" s="1"/>
  <c r="U13" i="52"/>
  <c r="P13" i="52"/>
  <c r="Q13" i="52" s="1"/>
  <c r="K13" i="52"/>
  <c r="U12" i="52"/>
  <c r="P12" i="52"/>
  <c r="N12" i="52"/>
  <c r="K12" i="52"/>
  <c r="T9" i="52"/>
  <c r="S9" i="52"/>
  <c r="O9" i="52"/>
  <c r="M9" i="52"/>
  <c r="L9" i="52"/>
  <c r="J9" i="52"/>
  <c r="I9" i="52"/>
  <c r="G9" i="52"/>
  <c r="E9" i="52"/>
  <c r="U8" i="52"/>
  <c r="P8" i="52"/>
  <c r="Q8" i="52" s="1"/>
  <c r="N8" i="52"/>
  <c r="K8" i="52"/>
  <c r="U7" i="52"/>
  <c r="U9" i="52" s="1"/>
  <c r="P7" i="52"/>
  <c r="P9" i="52" s="1"/>
  <c r="N7" i="52"/>
  <c r="N9" i="52" s="1"/>
  <c r="K7" i="52"/>
  <c r="N20" i="52" l="1"/>
  <c r="R17" i="52"/>
  <c r="N40" i="52"/>
  <c r="R9" i="53"/>
  <c r="R48" i="53"/>
  <c r="R49" i="53" s="1"/>
  <c r="T52" i="52"/>
  <c r="G52" i="52"/>
  <c r="M52" i="52"/>
  <c r="R13" i="52"/>
  <c r="R19" i="52"/>
  <c r="R25" i="52"/>
  <c r="Q35" i="52"/>
  <c r="R35" i="52" s="1"/>
  <c r="Q36" i="52"/>
  <c r="J52" i="52"/>
  <c r="K20" i="52"/>
  <c r="P40" i="52"/>
  <c r="O52" i="52"/>
  <c r="R8" i="52"/>
  <c r="Q29" i="52"/>
  <c r="R29" i="52" s="1"/>
  <c r="S52" i="52"/>
  <c r="Q40" i="53"/>
  <c r="Q32" i="52"/>
  <c r="R32" i="52" s="1"/>
  <c r="Q39" i="52"/>
  <c r="K9" i="52"/>
  <c r="Q18" i="52"/>
  <c r="R18" i="52" s="1"/>
  <c r="R34" i="52"/>
  <c r="U45" i="52"/>
  <c r="L52" i="52"/>
  <c r="P20" i="52"/>
  <c r="U20" i="52"/>
  <c r="Q23" i="52"/>
  <c r="Q24" i="52"/>
  <c r="Q26" i="52" s="1"/>
  <c r="U40" i="52"/>
  <c r="R36" i="52"/>
  <c r="R39" i="52"/>
  <c r="E52" i="52"/>
  <c r="Q20" i="53"/>
  <c r="K52" i="53"/>
  <c r="Q52" i="54"/>
  <c r="R29" i="53"/>
  <c r="R40" i="53" s="1"/>
  <c r="R52" i="54"/>
  <c r="I52" i="52"/>
  <c r="R20" i="53"/>
  <c r="Q45" i="53"/>
  <c r="R43" i="53"/>
  <c r="R45" i="53" s="1"/>
  <c r="Q26" i="53"/>
  <c r="R23" i="53"/>
  <c r="R26" i="53" s="1"/>
  <c r="P45" i="53"/>
  <c r="P52" i="53" s="1"/>
  <c r="R15" i="52"/>
  <c r="R23" i="52"/>
  <c r="R24" i="52"/>
  <c r="R31" i="52"/>
  <c r="R33" i="52"/>
  <c r="R38" i="52"/>
  <c r="K40" i="52"/>
  <c r="R48" i="52"/>
  <c r="R49" i="52" s="1"/>
  <c r="Q30" i="52"/>
  <c r="R30" i="52" s="1"/>
  <c r="Q43" i="52"/>
  <c r="Q7" i="52"/>
  <c r="Q9" i="52" s="1"/>
  <c r="Q16" i="52"/>
  <c r="R16" i="52" s="1"/>
  <c r="Q12" i="52"/>
  <c r="N26" i="52"/>
  <c r="P44" i="52"/>
  <c r="Q44" i="52" s="1"/>
  <c r="R44" i="52" s="1"/>
  <c r="K45" i="52"/>
  <c r="N49" i="52"/>
  <c r="P15" i="51"/>
  <c r="P48" i="51"/>
  <c r="P49" i="51" s="1"/>
  <c r="P43" i="51"/>
  <c r="P39" i="51"/>
  <c r="P38" i="51"/>
  <c r="P37" i="51"/>
  <c r="P36" i="51"/>
  <c r="P35" i="51"/>
  <c r="P34" i="51"/>
  <c r="P33" i="51"/>
  <c r="P32" i="51"/>
  <c r="P31" i="51"/>
  <c r="P30" i="51"/>
  <c r="P29" i="51"/>
  <c r="P25" i="51"/>
  <c r="P24" i="51"/>
  <c r="P23" i="51"/>
  <c r="P26" i="51" s="1"/>
  <c r="P19" i="51"/>
  <c r="P18" i="51"/>
  <c r="P17" i="51"/>
  <c r="Q17" i="51" s="1"/>
  <c r="P16" i="51"/>
  <c r="P13" i="51"/>
  <c r="P12" i="51"/>
  <c r="P8" i="51"/>
  <c r="P7" i="51"/>
  <c r="P9" i="51" s="1"/>
  <c r="T49" i="51"/>
  <c r="S49" i="51"/>
  <c r="O49" i="51"/>
  <c r="M49" i="51"/>
  <c r="L49" i="51"/>
  <c r="J49" i="51"/>
  <c r="I49" i="51"/>
  <c r="G49" i="51"/>
  <c r="E49" i="51"/>
  <c r="U48" i="51"/>
  <c r="U49" i="51" s="1"/>
  <c r="N48" i="51"/>
  <c r="Q48" i="51" s="1"/>
  <c r="Q49" i="51" s="1"/>
  <c r="K48" i="51"/>
  <c r="K49" i="51" s="1"/>
  <c r="T45" i="51"/>
  <c r="S45" i="51"/>
  <c r="O45" i="51"/>
  <c r="N45" i="51"/>
  <c r="M45" i="51"/>
  <c r="L45" i="51"/>
  <c r="J45" i="51"/>
  <c r="I45" i="51"/>
  <c r="G45" i="51"/>
  <c r="E45" i="51"/>
  <c r="U44" i="51"/>
  <c r="K44" i="51"/>
  <c r="P44" i="51" s="1"/>
  <c r="P45" i="51" s="1"/>
  <c r="U43" i="51"/>
  <c r="K43" i="51"/>
  <c r="T40" i="51"/>
  <c r="S40" i="51"/>
  <c r="O40" i="51"/>
  <c r="M40" i="51"/>
  <c r="L40" i="51"/>
  <c r="J40" i="51"/>
  <c r="I40" i="51"/>
  <c r="G40" i="51"/>
  <c r="E40" i="51"/>
  <c r="U39" i="51"/>
  <c r="N39" i="51"/>
  <c r="K39" i="51"/>
  <c r="U38" i="51"/>
  <c r="N38" i="51"/>
  <c r="K38" i="51"/>
  <c r="U37" i="51"/>
  <c r="Q37" i="51"/>
  <c r="K37" i="51"/>
  <c r="U36" i="51"/>
  <c r="N36" i="51"/>
  <c r="Q36" i="51" s="1"/>
  <c r="K36" i="51"/>
  <c r="U35" i="51"/>
  <c r="N35" i="51"/>
  <c r="K35" i="51"/>
  <c r="U34" i="51"/>
  <c r="N34" i="51"/>
  <c r="K34" i="51"/>
  <c r="U33" i="51"/>
  <c r="Q33" i="51"/>
  <c r="K33" i="51"/>
  <c r="U32" i="51"/>
  <c r="N32" i="51"/>
  <c r="Q32" i="51" s="1"/>
  <c r="K32" i="51"/>
  <c r="U31" i="51"/>
  <c r="N31" i="51"/>
  <c r="K31" i="51"/>
  <c r="U30" i="51"/>
  <c r="K30" i="51"/>
  <c r="U29" i="51"/>
  <c r="N29" i="51"/>
  <c r="Q29" i="51" s="1"/>
  <c r="K29" i="51"/>
  <c r="T26" i="51"/>
  <c r="S26" i="51"/>
  <c r="O26" i="51"/>
  <c r="M26" i="51"/>
  <c r="L26" i="51"/>
  <c r="J26" i="51"/>
  <c r="I26" i="51"/>
  <c r="G26" i="51"/>
  <c r="E26" i="51"/>
  <c r="U25" i="51"/>
  <c r="N25" i="51"/>
  <c r="K25" i="51"/>
  <c r="U24" i="51"/>
  <c r="N24" i="51"/>
  <c r="K24" i="51"/>
  <c r="U23" i="51"/>
  <c r="U26" i="51" s="1"/>
  <c r="K23" i="51"/>
  <c r="T20" i="51"/>
  <c r="S20" i="51"/>
  <c r="O20" i="51"/>
  <c r="M20" i="51"/>
  <c r="L20" i="51"/>
  <c r="J20" i="51"/>
  <c r="I20" i="51"/>
  <c r="G20" i="51"/>
  <c r="E20" i="51"/>
  <c r="U19" i="51"/>
  <c r="N19" i="51"/>
  <c r="Q19" i="51" s="1"/>
  <c r="K19" i="51"/>
  <c r="U18" i="51"/>
  <c r="N18" i="51"/>
  <c r="Q18" i="51" s="1"/>
  <c r="K18" i="51"/>
  <c r="U17" i="51"/>
  <c r="K17" i="51"/>
  <c r="U16" i="51"/>
  <c r="N16" i="51"/>
  <c r="K16" i="51"/>
  <c r="U15" i="51"/>
  <c r="N15" i="51"/>
  <c r="K15" i="51"/>
  <c r="U14" i="51"/>
  <c r="Q14" i="51"/>
  <c r="K14" i="51"/>
  <c r="U13" i="51"/>
  <c r="Q13" i="51"/>
  <c r="K13" i="51"/>
  <c r="R13" i="51" s="1"/>
  <c r="U12" i="51"/>
  <c r="N12" i="51"/>
  <c r="K12" i="51"/>
  <c r="T9" i="51"/>
  <c r="S9" i="51"/>
  <c r="S52" i="51" s="1"/>
  <c r="O9" i="51"/>
  <c r="M9" i="51"/>
  <c r="L9" i="51"/>
  <c r="J9" i="51"/>
  <c r="I9" i="51"/>
  <c r="G9" i="51"/>
  <c r="E9" i="51"/>
  <c r="U8" i="51"/>
  <c r="N8" i="51"/>
  <c r="Q8" i="51" s="1"/>
  <c r="K8" i="51"/>
  <c r="U7" i="51"/>
  <c r="U9" i="51" s="1"/>
  <c r="N7" i="51"/>
  <c r="N9" i="51" s="1"/>
  <c r="K7" i="51"/>
  <c r="Q34" i="51" l="1"/>
  <c r="R37" i="51"/>
  <c r="J52" i="51"/>
  <c r="M52" i="51"/>
  <c r="Q24" i="51"/>
  <c r="U52" i="52"/>
  <c r="I52" i="51"/>
  <c r="O52" i="51"/>
  <c r="N20" i="51"/>
  <c r="U20" i="51"/>
  <c r="Q16" i="51"/>
  <c r="K26" i="51"/>
  <c r="K52" i="52"/>
  <c r="Q52" i="53"/>
  <c r="R14" i="51"/>
  <c r="N40" i="51"/>
  <c r="Q39" i="51"/>
  <c r="R39" i="51" s="1"/>
  <c r="R26" i="52"/>
  <c r="L52" i="51"/>
  <c r="K40" i="51"/>
  <c r="U45" i="51"/>
  <c r="Q15" i="51"/>
  <c r="E52" i="51"/>
  <c r="T52" i="51"/>
  <c r="K9" i="51"/>
  <c r="K20" i="51"/>
  <c r="R16" i="51"/>
  <c r="R17" i="51"/>
  <c r="R24" i="51"/>
  <c r="U40" i="51"/>
  <c r="U52" i="51" s="1"/>
  <c r="Q38" i="51"/>
  <c r="P40" i="51"/>
  <c r="R7" i="52"/>
  <c r="R9" i="52" s="1"/>
  <c r="N52" i="52"/>
  <c r="Q45" i="52"/>
  <c r="R40" i="52"/>
  <c r="P45" i="52"/>
  <c r="P52" i="52" s="1"/>
  <c r="R52" i="53"/>
  <c r="Q20" i="52"/>
  <c r="R43" i="52"/>
  <c r="R45" i="52" s="1"/>
  <c r="Q40" i="52"/>
  <c r="R12" i="52"/>
  <c r="R20" i="52" s="1"/>
  <c r="P20" i="51"/>
  <c r="P52" i="51" s="1"/>
  <c r="Q31" i="51"/>
  <c r="R36" i="51"/>
  <c r="R8" i="51"/>
  <c r="Q25" i="51"/>
  <c r="R25" i="51" s="1"/>
  <c r="R29" i="51"/>
  <c r="R34" i="51"/>
  <c r="R15" i="51"/>
  <c r="R18" i="51"/>
  <c r="Q35" i="51"/>
  <c r="R35" i="51" s="1"/>
  <c r="R19" i="51"/>
  <c r="G52" i="51"/>
  <c r="R32" i="51"/>
  <c r="R33" i="51"/>
  <c r="R38" i="51"/>
  <c r="R31" i="51"/>
  <c r="R48" i="51"/>
  <c r="R49" i="51" s="1"/>
  <c r="Q12" i="51"/>
  <c r="Q20" i="51" s="1"/>
  <c r="N26" i="51"/>
  <c r="Q30" i="51"/>
  <c r="R30" i="51" s="1"/>
  <c r="Q43" i="51"/>
  <c r="Q44" i="51"/>
  <c r="R44" i="51" s="1"/>
  <c r="K45" i="51"/>
  <c r="N49" i="51"/>
  <c r="Q7" i="51"/>
  <c r="Q9" i="51" s="1"/>
  <c r="R12" i="51"/>
  <c r="Q23" i="51"/>
  <c r="P48" i="50"/>
  <c r="P49" i="50" s="1"/>
  <c r="P43" i="50"/>
  <c r="P39" i="50"/>
  <c r="P38" i="50"/>
  <c r="P37" i="50"/>
  <c r="P36" i="50"/>
  <c r="P35" i="50"/>
  <c r="P34" i="50"/>
  <c r="P33" i="50"/>
  <c r="P32" i="50"/>
  <c r="P31" i="50"/>
  <c r="P30" i="50"/>
  <c r="P29" i="50"/>
  <c r="P25" i="50"/>
  <c r="P24" i="50"/>
  <c r="P23" i="50"/>
  <c r="P19" i="50"/>
  <c r="P18" i="50"/>
  <c r="P17" i="50"/>
  <c r="P16" i="50"/>
  <c r="P15" i="50"/>
  <c r="P13" i="50"/>
  <c r="P12" i="50"/>
  <c r="P8" i="50"/>
  <c r="P7" i="50"/>
  <c r="P40" i="50" l="1"/>
  <c r="R20" i="51"/>
  <c r="P26" i="50"/>
  <c r="K52" i="51"/>
  <c r="N52" i="51"/>
  <c r="Q52" i="52"/>
  <c r="P20" i="50"/>
  <c r="P9" i="50"/>
  <c r="R52" i="52"/>
  <c r="R7" i="51"/>
  <c r="R9" i="51" s="1"/>
  <c r="R40" i="51"/>
  <c r="Q40" i="51"/>
  <c r="Q45" i="51"/>
  <c r="R43" i="51"/>
  <c r="R45" i="51" s="1"/>
  <c r="Q26" i="51"/>
  <c r="R23" i="51"/>
  <c r="R26" i="51" s="1"/>
  <c r="R52" i="51" l="1"/>
  <c r="Q52" i="51"/>
  <c r="G49" i="50"/>
  <c r="G45" i="50"/>
  <c r="G40" i="50"/>
  <c r="G26" i="50"/>
  <c r="G20" i="50"/>
  <c r="G9" i="50"/>
  <c r="G52" i="50" s="1"/>
  <c r="T49" i="50" l="1"/>
  <c r="T45" i="50"/>
  <c r="T40" i="50"/>
  <c r="T26" i="50"/>
  <c r="T20" i="50"/>
  <c r="T9" i="50"/>
  <c r="T52" i="50" l="1"/>
  <c r="S49" i="50"/>
  <c r="O49" i="50"/>
  <c r="M49" i="50"/>
  <c r="L49" i="50"/>
  <c r="J49" i="50"/>
  <c r="I49" i="50"/>
  <c r="E49" i="50"/>
  <c r="U48" i="50"/>
  <c r="U49" i="50" s="1"/>
  <c r="N48" i="50"/>
  <c r="N49" i="50" s="1"/>
  <c r="K48" i="50"/>
  <c r="K49" i="50" s="1"/>
  <c r="S45" i="50"/>
  <c r="O45" i="50"/>
  <c r="N45" i="50"/>
  <c r="M45" i="50"/>
  <c r="L45" i="50"/>
  <c r="J45" i="50"/>
  <c r="I45" i="50"/>
  <c r="E45" i="50"/>
  <c r="U44" i="50"/>
  <c r="K44" i="50"/>
  <c r="P44" i="50" s="1"/>
  <c r="P45" i="50" s="1"/>
  <c r="P52" i="50" s="1"/>
  <c r="U43" i="50"/>
  <c r="K43" i="50"/>
  <c r="K45" i="50" s="1"/>
  <c r="S40" i="50"/>
  <c r="O40" i="50"/>
  <c r="M40" i="50"/>
  <c r="L40" i="50"/>
  <c r="J40" i="50"/>
  <c r="I40" i="50"/>
  <c r="E40" i="50"/>
  <c r="U39" i="50"/>
  <c r="N39" i="50"/>
  <c r="Q39" i="50" s="1"/>
  <c r="K39" i="50"/>
  <c r="U38" i="50"/>
  <c r="N38" i="50"/>
  <c r="Q38" i="50" s="1"/>
  <c r="K38" i="50"/>
  <c r="U37" i="50"/>
  <c r="Q37" i="50"/>
  <c r="K37" i="50"/>
  <c r="U36" i="50"/>
  <c r="N36" i="50"/>
  <c r="Q36" i="50" s="1"/>
  <c r="K36" i="50"/>
  <c r="U35" i="50"/>
  <c r="N35" i="50"/>
  <c r="Q35" i="50" s="1"/>
  <c r="K35" i="50"/>
  <c r="U34" i="50"/>
  <c r="N34" i="50"/>
  <c r="Q34" i="50" s="1"/>
  <c r="K34" i="50"/>
  <c r="U33" i="50"/>
  <c r="Q33" i="50"/>
  <c r="K33" i="50"/>
  <c r="U32" i="50"/>
  <c r="N32" i="50"/>
  <c r="Q32" i="50" s="1"/>
  <c r="K32" i="50"/>
  <c r="U31" i="50"/>
  <c r="N31" i="50"/>
  <c r="Q31" i="50" s="1"/>
  <c r="K31" i="50"/>
  <c r="U30" i="50"/>
  <c r="Q30" i="50"/>
  <c r="K30" i="50"/>
  <c r="U29" i="50"/>
  <c r="N29" i="50"/>
  <c r="Q29" i="50" s="1"/>
  <c r="K29" i="50"/>
  <c r="S26" i="50"/>
  <c r="O26" i="50"/>
  <c r="M26" i="50"/>
  <c r="L26" i="50"/>
  <c r="J26" i="50"/>
  <c r="I26" i="50"/>
  <c r="E26" i="50"/>
  <c r="U25" i="50"/>
  <c r="U26" i="50" s="1"/>
  <c r="N25" i="50"/>
  <c r="Q25" i="50" s="1"/>
  <c r="K25" i="50"/>
  <c r="U24" i="50"/>
  <c r="N24" i="50"/>
  <c r="K24" i="50"/>
  <c r="U23" i="50"/>
  <c r="Q23" i="50"/>
  <c r="K23" i="50"/>
  <c r="S20" i="50"/>
  <c r="O20" i="50"/>
  <c r="M20" i="50"/>
  <c r="L20" i="50"/>
  <c r="J20" i="50"/>
  <c r="I20" i="50"/>
  <c r="E20" i="50"/>
  <c r="U19" i="50"/>
  <c r="N19" i="50"/>
  <c r="Q19" i="50" s="1"/>
  <c r="K19" i="50"/>
  <c r="U18" i="50"/>
  <c r="N18" i="50"/>
  <c r="Q18" i="50" s="1"/>
  <c r="K18" i="50"/>
  <c r="U17" i="50"/>
  <c r="Q17" i="50"/>
  <c r="K17" i="50"/>
  <c r="U16" i="50"/>
  <c r="N16" i="50"/>
  <c r="Q16" i="50" s="1"/>
  <c r="K16" i="50"/>
  <c r="U15" i="50"/>
  <c r="N15" i="50"/>
  <c r="Q15" i="50" s="1"/>
  <c r="K15" i="50"/>
  <c r="U14" i="50"/>
  <c r="Q14" i="50"/>
  <c r="K14" i="50"/>
  <c r="U13" i="50"/>
  <c r="Q13" i="50"/>
  <c r="K13" i="50"/>
  <c r="U12" i="50"/>
  <c r="N12" i="50"/>
  <c r="K12" i="50"/>
  <c r="S9" i="50"/>
  <c r="O9" i="50"/>
  <c r="O52" i="50" s="1"/>
  <c r="M9" i="50"/>
  <c r="L9" i="50"/>
  <c r="J9" i="50"/>
  <c r="I9" i="50"/>
  <c r="E9" i="50"/>
  <c r="U8" i="50"/>
  <c r="N8" i="50"/>
  <c r="Q8" i="50" s="1"/>
  <c r="K8" i="50"/>
  <c r="U7" i="50"/>
  <c r="N7" i="50"/>
  <c r="K7" i="50"/>
  <c r="K9" i="50" l="1"/>
  <c r="U45" i="50"/>
  <c r="S52" i="50"/>
  <c r="N9" i="50"/>
  <c r="R14" i="50"/>
  <c r="R30" i="50"/>
  <c r="R37" i="50"/>
  <c r="L52" i="50"/>
  <c r="K20" i="50"/>
  <c r="J52" i="50"/>
  <c r="Q48" i="50"/>
  <c r="Q49" i="50" s="1"/>
  <c r="N40" i="50"/>
  <c r="E52" i="50"/>
  <c r="M52" i="50"/>
  <c r="N20" i="50"/>
  <c r="U20" i="50"/>
  <c r="R17" i="50"/>
  <c r="N26" i="50"/>
  <c r="U40" i="50"/>
  <c r="R8" i="50"/>
  <c r="R15" i="50"/>
  <c r="R18" i="50"/>
  <c r="R19" i="50"/>
  <c r="R25" i="50"/>
  <c r="R29" i="50"/>
  <c r="R34" i="50"/>
  <c r="R13" i="50"/>
  <c r="R16" i="50"/>
  <c r="R23" i="50"/>
  <c r="R33" i="50"/>
  <c r="R35" i="50"/>
  <c r="R36" i="50"/>
  <c r="R38" i="50"/>
  <c r="R39" i="50"/>
  <c r="U9" i="50"/>
  <c r="I52" i="50"/>
  <c r="K26" i="50"/>
  <c r="Q40" i="50"/>
  <c r="R31" i="50"/>
  <c r="R32" i="50"/>
  <c r="K40" i="50"/>
  <c r="Q12" i="50"/>
  <c r="Q20" i="50" s="1"/>
  <c r="Q24" i="50"/>
  <c r="Q26" i="50" s="1"/>
  <c r="Q43" i="50"/>
  <c r="Q44" i="50"/>
  <c r="R44" i="50" s="1"/>
  <c r="Q7" i="50"/>
  <c r="Q9" i="50" s="1"/>
  <c r="P7" i="47"/>
  <c r="N7" i="35"/>
  <c r="N6" i="24"/>
  <c r="N52" i="50" l="1"/>
  <c r="U52" i="50"/>
  <c r="R48" i="50"/>
  <c r="R49" i="50" s="1"/>
  <c r="R40" i="50"/>
  <c r="R24" i="50"/>
  <c r="R26" i="50" s="1"/>
  <c r="R7" i="50"/>
  <c r="R9" i="50" s="1"/>
  <c r="R12" i="50"/>
  <c r="R20" i="50" s="1"/>
  <c r="K52" i="50"/>
  <c r="Q45" i="50"/>
  <c r="Q52" i="50" s="1"/>
  <c r="R43" i="50"/>
  <c r="R45" i="50" s="1"/>
  <c r="G41" i="48"/>
  <c r="G40" i="48"/>
  <c r="G36" i="48"/>
  <c r="G35" i="48"/>
  <c r="G34" i="48"/>
  <c r="G33" i="48"/>
  <c r="G32" i="48"/>
  <c r="G31" i="48"/>
  <c r="G30" i="48"/>
  <c r="G29" i="48"/>
  <c r="G28" i="48"/>
  <c r="G27" i="48"/>
  <c r="G26" i="48"/>
  <c r="G22" i="48"/>
  <c r="G21" i="48"/>
  <c r="G20" i="48"/>
  <c r="G16" i="48"/>
  <c r="G15" i="48"/>
  <c r="G14" i="48"/>
  <c r="G13" i="48"/>
  <c r="G12" i="48"/>
  <c r="H12" i="48" s="1"/>
  <c r="G11" i="48"/>
  <c r="H11" i="48" s="1"/>
  <c r="G7" i="48"/>
  <c r="H7" i="48" s="1"/>
  <c r="F42" i="48"/>
  <c r="F37" i="48"/>
  <c r="F23" i="48"/>
  <c r="F17" i="48"/>
  <c r="E17" i="48"/>
  <c r="F8" i="48"/>
  <c r="E8" i="48"/>
  <c r="R52" i="50" l="1"/>
  <c r="F46" i="48"/>
  <c r="H27" i="48"/>
  <c r="H29" i="48"/>
  <c r="H22" i="48"/>
  <c r="H33" i="48"/>
  <c r="H34" i="48"/>
  <c r="H36" i="48"/>
  <c r="G42" i="48"/>
  <c r="H15" i="48"/>
  <c r="H35" i="48"/>
  <c r="H41" i="48"/>
  <c r="E42" i="48"/>
  <c r="H13" i="48"/>
  <c r="H21" i="48"/>
  <c r="H28" i="48"/>
  <c r="H30" i="48"/>
  <c r="H32" i="48"/>
  <c r="H14" i="48"/>
  <c r="H16" i="48"/>
  <c r="H31" i="48"/>
  <c r="G8" i="48"/>
  <c r="E23" i="48"/>
  <c r="G17" i="48"/>
  <c r="G37" i="48"/>
  <c r="E37" i="48"/>
  <c r="G23" i="48"/>
  <c r="U49" i="47"/>
  <c r="T49" i="47"/>
  <c r="S49" i="47"/>
  <c r="O49" i="47"/>
  <c r="M49" i="47"/>
  <c r="L49" i="47"/>
  <c r="J49" i="47"/>
  <c r="I49" i="47"/>
  <c r="G49" i="47"/>
  <c r="E49" i="47"/>
  <c r="U48" i="47"/>
  <c r="P48" i="47"/>
  <c r="P49" i="47" s="1"/>
  <c r="N48" i="47"/>
  <c r="N49" i="47" s="1"/>
  <c r="K48" i="47"/>
  <c r="K49" i="47" s="1"/>
  <c r="T45" i="47"/>
  <c r="S45" i="47"/>
  <c r="O45" i="47"/>
  <c r="N45" i="47"/>
  <c r="M45" i="47"/>
  <c r="L45" i="47"/>
  <c r="J45" i="47"/>
  <c r="I45" i="47"/>
  <c r="G45" i="47"/>
  <c r="E45" i="47"/>
  <c r="U44" i="47"/>
  <c r="K44" i="47"/>
  <c r="P44" i="47" s="1"/>
  <c r="Q44" i="47" s="1"/>
  <c r="R44" i="47" s="1"/>
  <c r="U43" i="47"/>
  <c r="P43" i="47"/>
  <c r="K43" i="47"/>
  <c r="T40" i="47"/>
  <c r="S40" i="47"/>
  <c r="O40" i="47"/>
  <c r="M40" i="47"/>
  <c r="L40" i="47"/>
  <c r="J40" i="47"/>
  <c r="I40" i="47"/>
  <c r="G40" i="47"/>
  <c r="E40" i="47"/>
  <c r="U39" i="47"/>
  <c r="P39" i="47"/>
  <c r="N39" i="47"/>
  <c r="K39" i="47"/>
  <c r="U38" i="47"/>
  <c r="P38" i="47"/>
  <c r="N38" i="47"/>
  <c r="K38" i="47"/>
  <c r="U37" i="47"/>
  <c r="P37" i="47"/>
  <c r="Q37" i="47" s="1"/>
  <c r="K37" i="47"/>
  <c r="U36" i="47"/>
  <c r="P36" i="47"/>
  <c r="N36" i="47"/>
  <c r="Q36" i="47" s="1"/>
  <c r="K36" i="47"/>
  <c r="U35" i="47"/>
  <c r="P35" i="47"/>
  <c r="N35" i="47"/>
  <c r="K35" i="47"/>
  <c r="U34" i="47"/>
  <c r="P34" i="47"/>
  <c r="N34" i="47"/>
  <c r="Q34" i="47" s="1"/>
  <c r="K34" i="47"/>
  <c r="U33" i="47"/>
  <c r="P33" i="47"/>
  <c r="Q33" i="47" s="1"/>
  <c r="K33" i="47"/>
  <c r="R33" i="47" s="1"/>
  <c r="U32" i="47"/>
  <c r="P32" i="47"/>
  <c r="N32" i="47"/>
  <c r="Q32" i="47" s="1"/>
  <c r="K32" i="47"/>
  <c r="U31" i="47"/>
  <c r="P31" i="47"/>
  <c r="N31" i="47"/>
  <c r="Q31" i="47" s="1"/>
  <c r="K31" i="47"/>
  <c r="U30" i="47"/>
  <c r="P30" i="47"/>
  <c r="Q30" i="47" s="1"/>
  <c r="K30" i="47"/>
  <c r="U29" i="47"/>
  <c r="P29" i="47"/>
  <c r="N29" i="47"/>
  <c r="K29" i="47"/>
  <c r="T26" i="47"/>
  <c r="S26" i="47"/>
  <c r="O26" i="47"/>
  <c r="M26" i="47"/>
  <c r="L26" i="47"/>
  <c r="J26" i="47"/>
  <c r="I26" i="47"/>
  <c r="G26" i="47"/>
  <c r="E26" i="47"/>
  <c r="U25" i="47"/>
  <c r="P25" i="47"/>
  <c r="N25" i="47"/>
  <c r="K25" i="47"/>
  <c r="U24" i="47"/>
  <c r="P24" i="47"/>
  <c r="N24" i="47"/>
  <c r="Q24" i="47" s="1"/>
  <c r="K24" i="47"/>
  <c r="U23" i="47"/>
  <c r="P23" i="47"/>
  <c r="K23" i="47"/>
  <c r="T20" i="47"/>
  <c r="S20" i="47"/>
  <c r="O20" i="47"/>
  <c r="M20" i="47"/>
  <c r="L20" i="47"/>
  <c r="J20" i="47"/>
  <c r="I20" i="47"/>
  <c r="G20" i="47"/>
  <c r="E20" i="47"/>
  <c r="U19" i="47"/>
  <c r="P19" i="47"/>
  <c r="N19" i="47"/>
  <c r="K19" i="47"/>
  <c r="U18" i="47"/>
  <c r="P18" i="47"/>
  <c r="N18" i="47"/>
  <c r="Q18" i="47" s="1"/>
  <c r="K18" i="47"/>
  <c r="U17" i="47"/>
  <c r="P17" i="47"/>
  <c r="Q17" i="47" s="1"/>
  <c r="K17" i="47"/>
  <c r="U16" i="47"/>
  <c r="P16" i="47"/>
  <c r="N16" i="47"/>
  <c r="K16" i="47"/>
  <c r="U15" i="47"/>
  <c r="P15" i="47"/>
  <c r="N15" i="47"/>
  <c r="K15" i="47"/>
  <c r="U14" i="47"/>
  <c r="Q14" i="47"/>
  <c r="K14" i="47"/>
  <c r="U13" i="47"/>
  <c r="P13" i="47"/>
  <c r="Q13" i="47" s="1"/>
  <c r="K13" i="47"/>
  <c r="U12" i="47"/>
  <c r="P12" i="47"/>
  <c r="P20" i="47" s="1"/>
  <c r="N12" i="47"/>
  <c r="K12" i="47"/>
  <c r="T9" i="47"/>
  <c r="S9" i="47"/>
  <c r="S52" i="47" s="1"/>
  <c r="O9" i="47"/>
  <c r="M9" i="47"/>
  <c r="L9" i="47"/>
  <c r="J9" i="47"/>
  <c r="J52" i="47" s="1"/>
  <c r="I9" i="47"/>
  <c r="G9" i="47"/>
  <c r="E9" i="47"/>
  <c r="U8" i="47"/>
  <c r="P8" i="47"/>
  <c r="N8" i="47"/>
  <c r="K8" i="47"/>
  <c r="U7" i="47"/>
  <c r="U9" i="47" s="1"/>
  <c r="Q7" i="47"/>
  <c r="N7" i="47"/>
  <c r="K7" i="47"/>
  <c r="K9" i="47" s="1"/>
  <c r="R34" i="47" l="1"/>
  <c r="Q38" i="47"/>
  <c r="Q16" i="47"/>
  <c r="U45" i="47"/>
  <c r="Q12" i="47"/>
  <c r="R18" i="47"/>
  <c r="N40" i="47"/>
  <c r="R30" i="47"/>
  <c r="L52" i="47"/>
  <c r="R24" i="47"/>
  <c r="P40" i="47"/>
  <c r="Q35" i="47"/>
  <c r="R35" i="47" s="1"/>
  <c r="Q48" i="47"/>
  <c r="Q49" i="47" s="1"/>
  <c r="E52" i="47"/>
  <c r="N9" i="47"/>
  <c r="G52" i="47"/>
  <c r="M52" i="47"/>
  <c r="R14" i="47"/>
  <c r="Q15" i="47"/>
  <c r="Q19" i="47"/>
  <c r="Q20" i="47" s="1"/>
  <c r="K26" i="47"/>
  <c r="R25" i="47"/>
  <c r="R38" i="47"/>
  <c r="R39" i="47"/>
  <c r="O52" i="47"/>
  <c r="P26" i="47"/>
  <c r="Q25" i="47"/>
  <c r="R32" i="47"/>
  <c r="Q39" i="47"/>
  <c r="E46" i="48"/>
  <c r="G46" i="48"/>
  <c r="H8" i="48"/>
  <c r="H40" i="48"/>
  <c r="H42" i="48" s="1"/>
  <c r="H26" i="48"/>
  <c r="H37" i="48" s="1"/>
  <c r="H17" i="48"/>
  <c r="H20" i="48"/>
  <c r="H23" i="48" s="1"/>
  <c r="U40" i="47"/>
  <c r="T52" i="47"/>
  <c r="U26" i="47"/>
  <c r="U20" i="47"/>
  <c r="K40" i="47"/>
  <c r="I52" i="47"/>
  <c r="K20" i="47"/>
  <c r="R13" i="47"/>
  <c r="R31" i="47"/>
  <c r="R36" i="47"/>
  <c r="R37" i="47"/>
  <c r="P45" i="47"/>
  <c r="R15" i="47"/>
  <c r="R16" i="47"/>
  <c r="R17" i="47"/>
  <c r="N20" i="47"/>
  <c r="Q8" i="47"/>
  <c r="Q9" i="47" s="1"/>
  <c r="P9" i="47"/>
  <c r="Q29" i="47"/>
  <c r="R48" i="47"/>
  <c r="R49" i="47" s="1"/>
  <c r="Q43" i="47"/>
  <c r="Q45" i="47" s="1"/>
  <c r="K45" i="47"/>
  <c r="R12" i="47"/>
  <c r="N26" i="47"/>
  <c r="R7" i="47"/>
  <c r="Q23" i="47"/>
  <c r="Q26" i="47" s="1"/>
  <c r="T49" i="46"/>
  <c r="S49" i="46"/>
  <c r="O49" i="46"/>
  <c r="M49" i="46"/>
  <c r="L49" i="46"/>
  <c r="J49" i="46"/>
  <c r="I49" i="46"/>
  <c r="G49" i="46"/>
  <c r="E49" i="46"/>
  <c r="U48" i="46"/>
  <c r="U49" i="46" s="1"/>
  <c r="P48" i="46"/>
  <c r="P49" i="46" s="1"/>
  <c r="N48" i="46"/>
  <c r="N49" i="46" s="1"/>
  <c r="K48" i="46"/>
  <c r="K49" i="46" s="1"/>
  <c r="T45" i="46"/>
  <c r="S45" i="46"/>
  <c r="O45" i="46"/>
  <c r="N45" i="46"/>
  <c r="M45" i="46"/>
  <c r="L45" i="46"/>
  <c r="J45" i="46"/>
  <c r="I45" i="46"/>
  <c r="G45" i="46"/>
  <c r="E45" i="46"/>
  <c r="U44" i="46"/>
  <c r="K44" i="46"/>
  <c r="P44" i="46" s="1"/>
  <c r="U43" i="46"/>
  <c r="U45" i="46" s="1"/>
  <c r="P43" i="46"/>
  <c r="Q43" i="46" s="1"/>
  <c r="R43" i="46" s="1"/>
  <c r="K43" i="46"/>
  <c r="K45" i="46" s="1"/>
  <c r="T40" i="46"/>
  <c r="S40" i="46"/>
  <c r="O40" i="46"/>
  <c r="M40" i="46"/>
  <c r="L40" i="46"/>
  <c r="J40" i="46"/>
  <c r="I40" i="46"/>
  <c r="G40" i="46"/>
  <c r="E40" i="46"/>
  <c r="U39" i="46"/>
  <c r="P39" i="46"/>
  <c r="N39" i="46"/>
  <c r="K39" i="46"/>
  <c r="U38" i="46"/>
  <c r="P38" i="46"/>
  <c r="N38" i="46"/>
  <c r="K38" i="46"/>
  <c r="U37" i="46"/>
  <c r="P37" i="46"/>
  <c r="Q37" i="46" s="1"/>
  <c r="R37" i="46" s="1"/>
  <c r="K37" i="46"/>
  <c r="U36" i="46"/>
  <c r="P36" i="46"/>
  <c r="N36" i="46"/>
  <c r="Q36" i="46" s="1"/>
  <c r="K36" i="46"/>
  <c r="U35" i="46"/>
  <c r="P35" i="46"/>
  <c r="N35" i="46"/>
  <c r="K35" i="46"/>
  <c r="U34" i="46"/>
  <c r="P34" i="46"/>
  <c r="N34" i="46"/>
  <c r="Q34" i="46" s="1"/>
  <c r="K34" i="46"/>
  <c r="U33" i="46"/>
  <c r="P33" i="46"/>
  <c r="Q33" i="46" s="1"/>
  <c r="K33" i="46"/>
  <c r="U32" i="46"/>
  <c r="P32" i="46"/>
  <c r="N32" i="46"/>
  <c r="K32" i="46"/>
  <c r="U31" i="46"/>
  <c r="P31" i="46"/>
  <c r="N31" i="46"/>
  <c r="K31" i="46"/>
  <c r="U30" i="46"/>
  <c r="P30" i="46"/>
  <c r="Q30" i="46" s="1"/>
  <c r="R30" i="46" s="1"/>
  <c r="K30" i="46"/>
  <c r="U29" i="46"/>
  <c r="P29" i="46"/>
  <c r="N29" i="46"/>
  <c r="Q29" i="46" s="1"/>
  <c r="K29" i="46"/>
  <c r="T26" i="46"/>
  <c r="S26" i="46"/>
  <c r="O26" i="46"/>
  <c r="M26" i="46"/>
  <c r="L26" i="46"/>
  <c r="J26" i="46"/>
  <c r="I26" i="46"/>
  <c r="G26" i="46"/>
  <c r="E26" i="46"/>
  <c r="U25" i="46"/>
  <c r="P25" i="46"/>
  <c r="N25" i="46"/>
  <c r="K25" i="46"/>
  <c r="U24" i="46"/>
  <c r="P24" i="46"/>
  <c r="Q24" i="46" s="1"/>
  <c r="N24" i="46"/>
  <c r="K24" i="46"/>
  <c r="U23" i="46"/>
  <c r="U26" i="46" s="1"/>
  <c r="P23" i="46"/>
  <c r="P26" i="46" s="1"/>
  <c r="K23" i="46"/>
  <c r="T20" i="46"/>
  <c r="S20" i="46"/>
  <c r="O20" i="46"/>
  <c r="M20" i="46"/>
  <c r="L20" i="46"/>
  <c r="J20" i="46"/>
  <c r="I20" i="46"/>
  <c r="G20" i="46"/>
  <c r="E20" i="46"/>
  <c r="U19" i="46"/>
  <c r="P19" i="46"/>
  <c r="N19" i="46"/>
  <c r="K19" i="46"/>
  <c r="U18" i="46"/>
  <c r="Q18" i="46"/>
  <c r="P18" i="46"/>
  <c r="N18" i="46"/>
  <c r="K18" i="46"/>
  <c r="U17" i="46"/>
  <c r="P17" i="46"/>
  <c r="Q17" i="46" s="1"/>
  <c r="K17" i="46"/>
  <c r="R17" i="46" s="1"/>
  <c r="U16" i="46"/>
  <c r="P16" i="46"/>
  <c r="Q16" i="46" s="1"/>
  <c r="N16" i="46"/>
  <c r="K16" i="46"/>
  <c r="U15" i="46"/>
  <c r="P15" i="46"/>
  <c r="N15" i="46"/>
  <c r="K15" i="46"/>
  <c r="U14" i="46"/>
  <c r="Q14" i="46"/>
  <c r="K14" i="46"/>
  <c r="U13" i="46"/>
  <c r="P13" i="46"/>
  <c r="K13" i="46"/>
  <c r="U12" i="46"/>
  <c r="P12" i="46"/>
  <c r="N12" i="46"/>
  <c r="K12" i="46"/>
  <c r="T9" i="46"/>
  <c r="S9" i="46"/>
  <c r="O9" i="46"/>
  <c r="M9" i="46"/>
  <c r="L9" i="46"/>
  <c r="J9" i="46"/>
  <c r="I9" i="46"/>
  <c r="G9" i="46"/>
  <c r="E9" i="46"/>
  <c r="U8" i="46"/>
  <c r="P8" i="46"/>
  <c r="N8" i="46"/>
  <c r="Q8" i="46" s="1"/>
  <c r="K8" i="46"/>
  <c r="U7" i="46"/>
  <c r="U9" i="46" s="1"/>
  <c r="P7" i="46"/>
  <c r="P9" i="46" s="1"/>
  <c r="N7" i="46"/>
  <c r="K7" i="46"/>
  <c r="K9" i="46" s="1"/>
  <c r="Q12" i="46" l="1"/>
  <c r="Q38" i="46"/>
  <c r="Q39" i="46"/>
  <c r="R39" i="46" s="1"/>
  <c r="P45" i="46"/>
  <c r="J52" i="46"/>
  <c r="S52" i="46"/>
  <c r="R8" i="46"/>
  <c r="Q25" i="46"/>
  <c r="Q31" i="46"/>
  <c r="Q32" i="46"/>
  <c r="R32" i="46" s="1"/>
  <c r="Q40" i="47"/>
  <c r="R19" i="47"/>
  <c r="R20" i="47" s="1"/>
  <c r="E52" i="46"/>
  <c r="P20" i="46"/>
  <c r="M52" i="46"/>
  <c r="L52" i="46"/>
  <c r="T52" i="46"/>
  <c r="R24" i="46"/>
  <c r="R33" i="46"/>
  <c r="Q35" i="46"/>
  <c r="R35" i="46" s="1"/>
  <c r="H46" i="48"/>
  <c r="N52" i="47"/>
  <c r="R18" i="46"/>
  <c r="I52" i="46"/>
  <c r="O52" i="46"/>
  <c r="U20" i="46"/>
  <c r="R14" i="46"/>
  <c r="Q15" i="46"/>
  <c r="R15" i="46" s="1"/>
  <c r="Q19" i="46"/>
  <c r="R19" i="46" s="1"/>
  <c r="G52" i="46"/>
  <c r="U40" i="46"/>
  <c r="Q52" i="47"/>
  <c r="R43" i="47"/>
  <c r="R45" i="47" s="1"/>
  <c r="U52" i="47"/>
  <c r="K52" i="47"/>
  <c r="P52" i="47"/>
  <c r="R8" i="47"/>
  <c r="R9" i="47" s="1"/>
  <c r="R23" i="47"/>
  <c r="R26" i="47" s="1"/>
  <c r="R29" i="47"/>
  <c r="R40" i="47" s="1"/>
  <c r="K40" i="46"/>
  <c r="K20" i="46"/>
  <c r="U52" i="46"/>
  <c r="R16" i="46"/>
  <c r="R25" i="46"/>
  <c r="R31" i="46"/>
  <c r="R34" i="46"/>
  <c r="R36" i="46"/>
  <c r="R38" i="46"/>
  <c r="N20" i="46"/>
  <c r="N26" i="46"/>
  <c r="R29" i="46"/>
  <c r="P40" i="46"/>
  <c r="P52" i="46" s="1"/>
  <c r="Q7" i="46"/>
  <c r="Q9" i="46" s="1"/>
  <c r="N9" i="46"/>
  <c r="R12" i="46"/>
  <c r="Q13" i="46"/>
  <c r="R13" i="46" s="1"/>
  <c r="K26" i="46"/>
  <c r="R7" i="46"/>
  <c r="R9" i="46" s="1"/>
  <c r="Q23" i="46"/>
  <c r="Q26" i="46" s="1"/>
  <c r="N40" i="46"/>
  <c r="Q48" i="46"/>
  <c r="Q49" i="46" s="1"/>
  <c r="Q44" i="46"/>
  <c r="R44" i="46" s="1"/>
  <c r="R45" i="46" s="1"/>
  <c r="G9" i="45"/>
  <c r="G20" i="45"/>
  <c r="Q40" i="46" l="1"/>
  <c r="R48" i="46"/>
  <c r="R49" i="46" s="1"/>
  <c r="R40" i="46"/>
  <c r="R52" i="47"/>
  <c r="K52" i="46"/>
  <c r="R20" i="46"/>
  <c r="N52" i="46"/>
  <c r="Q20" i="46"/>
  <c r="Q45" i="46"/>
  <c r="R23" i="46"/>
  <c r="R26" i="46" s="1"/>
  <c r="U49" i="45"/>
  <c r="T49" i="45"/>
  <c r="S49" i="45"/>
  <c r="O49" i="45"/>
  <c r="M49" i="45"/>
  <c r="L49" i="45"/>
  <c r="J49" i="45"/>
  <c r="I49" i="45"/>
  <c r="G49" i="45"/>
  <c r="E49" i="45"/>
  <c r="U48" i="45"/>
  <c r="P48" i="45"/>
  <c r="P49" i="45" s="1"/>
  <c r="N48" i="45"/>
  <c r="N49" i="45" s="1"/>
  <c r="K48" i="45"/>
  <c r="K49" i="45" s="1"/>
  <c r="T45" i="45"/>
  <c r="S45" i="45"/>
  <c r="O45" i="45"/>
  <c r="N45" i="45"/>
  <c r="M45" i="45"/>
  <c r="L45" i="45"/>
  <c r="J45" i="45"/>
  <c r="I45" i="45"/>
  <c r="G45" i="45"/>
  <c r="E45" i="45"/>
  <c r="U44" i="45"/>
  <c r="K44" i="45"/>
  <c r="U43" i="45"/>
  <c r="P43" i="45"/>
  <c r="K43" i="45"/>
  <c r="T40" i="45"/>
  <c r="S40" i="45"/>
  <c r="O40" i="45"/>
  <c r="M40" i="45"/>
  <c r="L40" i="45"/>
  <c r="J40" i="45"/>
  <c r="I40" i="45"/>
  <c r="G40" i="45"/>
  <c r="E40" i="45"/>
  <c r="U39" i="45"/>
  <c r="P39" i="45"/>
  <c r="N39" i="45"/>
  <c r="K39" i="45"/>
  <c r="U38" i="45"/>
  <c r="P38" i="45"/>
  <c r="N38" i="45"/>
  <c r="Q38" i="45" s="1"/>
  <c r="K38" i="45"/>
  <c r="U37" i="45"/>
  <c r="P37" i="45"/>
  <c r="Q37" i="45" s="1"/>
  <c r="K37" i="45"/>
  <c r="R37" i="45" s="1"/>
  <c r="U36" i="45"/>
  <c r="P36" i="45"/>
  <c r="N36" i="45"/>
  <c r="Q36" i="45" s="1"/>
  <c r="K36" i="45"/>
  <c r="U35" i="45"/>
  <c r="P35" i="45"/>
  <c r="N35" i="45"/>
  <c r="Q35" i="45" s="1"/>
  <c r="K35" i="45"/>
  <c r="U34" i="45"/>
  <c r="P34" i="45"/>
  <c r="N34" i="45"/>
  <c r="Q34" i="45" s="1"/>
  <c r="K34" i="45"/>
  <c r="U33" i="45"/>
  <c r="P33" i="45"/>
  <c r="Q33" i="45" s="1"/>
  <c r="K33" i="45"/>
  <c r="U32" i="45"/>
  <c r="P32" i="45"/>
  <c r="N32" i="45"/>
  <c r="Q32" i="45" s="1"/>
  <c r="K32" i="45"/>
  <c r="U31" i="45"/>
  <c r="P31" i="45"/>
  <c r="N31" i="45"/>
  <c r="Q31" i="45" s="1"/>
  <c r="K31" i="45"/>
  <c r="U30" i="45"/>
  <c r="P30" i="45"/>
  <c r="Q30" i="45" s="1"/>
  <c r="K30" i="45"/>
  <c r="U29" i="45"/>
  <c r="U40" i="45" s="1"/>
  <c r="P29" i="45"/>
  <c r="N29" i="45"/>
  <c r="K29" i="45"/>
  <c r="T26" i="45"/>
  <c r="S26" i="45"/>
  <c r="O26" i="45"/>
  <c r="M26" i="45"/>
  <c r="L26" i="45"/>
  <c r="J26" i="45"/>
  <c r="I26" i="45"/>
  <c r="G26" i="45"/>
  <c r="E26" i="45"/>
  <c r="U25" i="45"/>
  <c r="P25" i="45"/>
  <c r="N25" i="45"/>
  <c r="Q25" i="45" s="1"/>
  <c r="K25" i="45"/>
  <c r="U24" i="45"/>
  <c r="P24" i="45"/>
  <c r="N24" i="45"/>
  <c r="N26" i="45" s="1"/>
  <c r="K24" i="45"/>
  <c r="U23" i="45"/>
  <c r="U26" i="45" s="1"/>
  <c r="P23" i="45"/>
  <c r="P26" i="45" s="1"/>
  <c r="K23" i="45"/>
  <c r="K26" i="45" s="1"/>
  <c r="T20" i="45"/>
  <c r="S20" i="45"/>
  <c r="O20" i="45"/>
  <c r="M20" i="45"/>
  <c r="L20" i="45"/>
  <c r="J20" i="45"/>
  <c r="I20" i="45"/>
  <c r="E20" i="45"/>
  <c r="U19" i="45"/>
  <c r="P19" i="45"/>
  <c r="N19" i="45"/>
  <c r="Q19" i="45" s="1"/>
  <c r="K19" i="45"/>
  <c r="U18" i="45"/>
  <c r="P18" i="45"/>
  <c r="N18" i="45"/>
  <c r="Q18" i="45" s="1"/>
  <c r="K18" i="45"/>
  <c r="U17" i="45"/>
  <c r="P17" i="45"/>
  <c r="Q17" i="45" s="1"/>
  <c r="R17" i="45" s="1"/>
  <c r="K17" i="45"/>
  <c r="U16" i="45"/>
  <c r="P16" i="45"/>
  <c r="N16" i="45"/>
  <c r="K16" i="45"/>
  <c r="U15" i="45"/>
  <c r="P15" i="45"/>
  <c r="N15" i="45"/>
  <c r="Q15" i="45" s="1"/>
  <c r="K15" i="45"/>
  <c r="U14" i="45"/>
  <c r="Q14" i="45"/>
  <c r="K14" i="45"/>
  <c r="R14" i="45" s="1"/>
  <c r="U13" i="45"/>
  <c r="P13" i="45"/>
  <c r="Q13" i="45" s="1"/>
  <c r="K13" i="45"/>
  <c r="U12" i="45"/>
  <c r="P12" i="45"/>
  <c r="N12" i="45"/>
  <c r="K12" i="45"/>
  <c r="T9" i="45"/>
  <c r="T52" i="45" s="1"/>
  <c r="S9" i="45"/>
  <c r="O9" i="45"/>
  <c r="M9" i="45"/>
  <c r="L9" i="45"/>
  <c r="L52" i="45" s="1"/>
  <c r="J9" i="45"/>
  <c r="I9" i="45"/>
  <c r="E9" i="45"/>
  <c r="U8" i="45"/>
  <c r="P8" i="45"/>
  <c r="N8" i="45"/>
  <c r="Q8" i="45" s="1"/>
  <c r="K8" i="45"/>
  <c r="U7" i="45"/>
  <c r="U9" i="45" s="1"/>
  <c r="P7" i="45"/>
  <c r="P9" i="45" s="1"/>
  <c r="N7" i="45"/>
  <c r="N9" i="45" s="1"/>
  <c r="K7" i="45"/>
  <c r="K9" i="45" s="1"/>
  <c r="E52" i="45" l="1"/>
  <c r="G52" i="45"/>
  <c r="N40" i="45"/>
  <c r="U45" i="45"/>
  <c r="U52" i="45" s="1"/>
  <c r="U20" i="45"/>
  <c r="R31" i="45"/>
  <c r="M52" i="45"/>
  <c r="R13" i="45"/>
  <c r="R15" i="45"/>
  <c r="R25" i="45"/>
  <c r="R36" i="45"/>
  <c r="R38" i="45"/>
  <c r="N20" i="45"/>
  <c r="P40" i="45"/>
  <c r="R34" i="45"/>
  <c r="Q48" i="45"/>
  <c r="Q49" i="45" s="1"/>
  <c r="Q52" i="46"/>
  <c r="O52" i="45"/>
  <c r="Q23" i="45"/>
  <c r="R8" i="45"/>
  <c r="S52" i="45"/>
  <c r="P20" i="45"/>
  <c r="Q16" i="45"/>
  <c r="R18" i="45"/>
  <c r="R19" i="45"/>
  <c r="R23" i="45"/>
  <c r="Q29" i="45"/>
  <c r="R29" i="45" s="1"/>
  <c r="Q39" i="45"/>
  <c r="R39" i="45" s="1"/>
  <c r="J52" i="45"/>
  <c r="R52" i="46"/>
  <c r="I52" i="45"/>
  <c r="K20" i="45"/>
  <c r="R16" i="45"/>
  <c r="R30" i="45"/>
  <c r="R32" i="45"/>
  <c r="R33" i="45"/>
  <c r="R35" i="45"/>
  <c r="K40" i="45"/>
  <c r="Q12" i="45"/>
  <c r="Q20" i="45" s="1"/>
  <c r="Q24" i="45"/>
  <c r="Q26" i="45" s="1"/>
  <c r="Q43" i="45"/>
  <c r="R43" i="45" s="1"/>
  <c r="P44" i="45"/>
  <c r="Q44" i="45" s="1"/>
  <c r="R44" i="45" s="1"/>
  <c r="K45" i="45"/>
  <c r="R48" i="45"/>
  <c r="R49" i="45" s="1"/>
  <c r="Q7" i="45"/>
  <c r="Q9" i="45" s="1"/>
  <c r="K34" i="44"/>
  <c r="K33" i="44"/>
  <c r="N52" i="45" l="1"/>
  <c r="R7" i="45"/>
  <c r="R9" i="45" s="1"/>
  <c r="P45" i="45"/>
  <c r="P52" i="45" s="1"/>
  <c r="Q40" i="45"/>
  <c r="Q52" i="45" s="1"/>
  <c r="K52" i="45"/>
  <c r="R40" i="45"/>
  <c r="R45" i="45"/>
  <c r="R12" i="45"/>
  <c r="R20" i="45" s="1"/>
  <c r="Q45" i="45"/>
  <c r="R24" i="45"/>
  <c r="R26" i="45" s="1"/>
  <c r="R52" i="45" l="1"/>
  <c r="K13" i="44" l="1"/>
  <c r="K14" i="44"/>
  <c r="T49" i="44"/>
  <c r="S49" i="44"/>
  <c r="O49" i="44"/>
  <c r="M49" i="44"/>
  <c r="L49" i="44"/>
  <c r="J49" i="44"/>
  <c r="I49" i="44"/>
  <c r="G49" i="44"/>
  <c r="E49" i="44"/>
  <c r="U48" i="44"/>
  <c r="U49" i="44" s="1"/>
  <c r="P48" i="44"/>
  <c r="P49" i="44" s="1"/>
  <c r="N48" i="44"/>
  <c r="N49" i="44" s="1"/>
  <c r="K48" i="44"/>
  <c r="K49" i="44" s="1"/>
  <c r="T45" i="44"/>
  <c r="S45" i="44"/>
  <c r="O45" i="44"/>
  <c r="N45" i="44"/>
  <c r="M45" i="44"/>
  <c r="L45" i="44"/>
  <c r="J45" i="44"/>
  <c r="I45" i="44"/>
  <c r="G45" i="44"/>
  <c r="E45" i="44"/>
  <c r="U44" i="44"/>
  <c r="K44" i="44"/>
  <c r="U43" i="44"/>
  <c r="U45" i="44" s="1"/>
  <c r="P43" i="44"/>
  <c r="K43" i="44"/>
  <c r="T40" i="44"/>
  <c r="S40" i="44"/>
  <c r="O40" i="44"/>
  <c r="M40" i="44"/>
  <c r="L40" i="44"/>
  <c r="J40" i="44"/>
  <c r="I40" i="44"/>
  <c r="G40" i="44"/>
  <c r="E40" i="44"/>
  <c r="U39" i="44"/>
  <c r="P39" i="44"/>
  <c r="N39" i="44"/>
  <c r="K39" i="44"/>
  <c r="U38" i="44"/>
  <c r="P38" i="44"/>
  <c r="Q38" i="44" s="1"/>
  <c r="N38" i="44"/>
  <c r="K38" i="44"/>
  <c r="U37" i="44"/>
  <c r="P37" i="44"/>
  <c r="Q37" i="44" s="1"/>
  <c r="R37" i="44" s="1"/>
  <c r="K37" i="44"/>
  <c r="U36" i="44"/>
  <c r="P36" i="44"/>
  <c r="N36" i="44"/>
  <c r="K36" i="44"/>
  <c r="U35" i="44"/>
  <c r="P35" i="44"/>
  <c r="N35" i="44"/>
  <c r="K35" i="44"/>
  <c r="U34" i="44"/>
  <c r="P34" i="44"/>
  <c r="N34" i="44"/>
  <c r="U33" i="44"/>
  <c r="P33" i="44"/>
  <c r="Q33" i="44" s="1"/>
  <c r="R33" i="44" s="1"/>
  <c r="U32" i="44"/>
  <c r="P32" i="44"/>
  <c r="N32" i="44"/>
  <c r="K32" i="44"/>
  <c r="U31" i="44"/>
  <c r="P31" i="44"/>
  <c r="N31" i="44"/>
  <c r="K31" i="44"/>
  <c r="U30" i="44"/>
  <c r="P30" i="44"/>
  <c r="Q30" i="44" s="1"/>
  <c r="K30" i="44"/>
  <c r="U29" i="44"/>
  <c r="P29" i="44"/>
  <c r="P40" i="44" s="1"/>
  <c r="N29" i="44"/>
  <c r="N40" i="44" s="1"/>
  <c r="K29" i="44"/>
  <c r="T26" i="44"/>
  <c r="S26" i="44"/>
  <c r="O26" i="44"/>
  <c r="M26" i="44"/>
  <c r="L26" i="44"/>
  <c r="J26" i="44"/>
  <c r="I26" i="44"/>
  <c r="G26" i="44"/>
  <c r="E26" i="44"/>
  <c r="U25" i="44"/>
  <c r="P25" i="44"/>
  <c r="Q25" i="44" s="1"/>
  <c r="N25" i="44"/>
  <c r="K25" i="44"/>
  <c r="R25" i="44" s="1"/>
  <c r="U24" i="44"/>
  <c r="P24" i="44"/>
  <c r="N24" i="44"/>
  <c r="N26" i="44" s="1"/>
  <c r="K24" i="44"/>
  <c r="U23" i="44"/>
  <c r="U26" i="44" s="1"/>
  <c r="P23" i="44"/>
  <c r="P26" i="44" s="1"/>
  <c r="K23" i="44"/>
  <c r="T20" i="44"/>
  <c r="S20" i="44"/>
  <c r="O20" i="44"/>
  <c r="M20" i="44"/>
  <c r="L20" i="44"/>
  <c r="J20" i="44"/>
  <c r="I20" i="44"/>
  <c r="G20" i="44"/>
  <c r="E20" i="44"/>
  <c r="U19" i="44"/>
  <c r="P19" i="44"/>
  <c r="Q19" i="44" s="1"/>
  <c r="N19" i="44"/>
  <c r="K19" i="44"/>
  <c r="R19" i="44" s="1"/>
  <c r="U18" i="44"/>
  <c r="P18" i="44"/>
  <c r="N18" i="44"/>
  <c r="K18" i="44"/>
  <c r="U17" i="44"/>
  <c r="P17" i="44"/>
  <c r="Q17" i="44" s="1"/>
  <c r="R17" i="44" s="1"/>
  <c r="K17" i="44"/>
  <c r="U16" i="44"/>
  <c r="P16" i="44"/>
  <c r="N16" i="44"/>
  <c r="K16" i="44"/>
  <c r="U15" i="44"/>
  <c r="P15" i="44"/>
  <c r="N15" i="44"/>
  <c r="K15" i="44"/>
  <c r="U14" i="44"/>
  <c r="Q14" i="44"/>
  <c r="R14" i="44" s="1"/>
  <c r="U13" i="44"/>
  <c r="P13" i="44"/>
  <c r="Q13" i="44" s="1"/>
  <c r="R13" i="44" s="1"/>
  <c r="U12" i="44"/>
  <c r="P12" i="44"/>
  <c r="N12" i="44"/>
  <c r="K12" i="44"/>
  <c r="T9" i="44"/>
  <c r="S9" i="44"/>
  <c r="O9" i="44"/>
  <c r="O52" i="44" s="1"/>
  <c r="M9" i="44"/>
  <c r="L9" i="44"/>
  <c r="L52" i="44" s="1"/>
  <c r="J9" i="44"/>
  <c r="I9" i="44"/>
  <c r="G9" i="44"/>
  <c r="E9" i="44"/>
  <c r="E52" i="44" s="1"/>
  <c r="U8" i="44"/>
  <c r="P8" i="44"/>
  <c r="N8" i="44"/>
  <c r="Q8" i="44" s="1"/>
  <c r="K8" i="44"/>
  <c r="U7" i="44"/>
  <c r="U9" i="44" s="1"/>
  <c r="P7" i="44"/>
  <c r="P9" i="44" s="1"/>
  <c r="N7" i="44"/>
  <c r="Q7" i="44" s="1"/>
  <c r="K7" i="44"/>
  <c r="K9" i="44" s="1"/>
  <c r="G52" i="44" l="1"/>
  <c r="M52" i="44"/>
  <c r="J52" i="44"/>
  <c r="S52" i="44"/>
  <c r="P20" i="44"/>
  <c r="Q15" i="44"/>
  <c r="Q16" i="44"/>
  <c r="R16" i="44" s="1"/>
  <c r="Q36" i="44"/>
  <c r="R36" i="44" s="1"/>
  <c r="Q9" i="44"/>
  <c r="R15" i="44"/>
  <c r="T52" i="44"/>
  <c r="U20" i="44"/>
  <c r="Q18" i="44"/>
  <c r="R18" i="44" s="1"/>
  <c r="Q29" i="44"/>
  <c r="R29" i="44" s="1"/>
  <c r="Q34" i="44"/>
  <c r="R34" i="44" s="1"/>
  <c r="Q35" i="44"/>
  <c r="R35" i="44" s="1"/>
  <c r="Q39" i="44"/>
  <c r="R39" i="44" s="1"/>
  <c r="K45" i="44"/>
  <c r="I52" i="44"/>
  <c r="K20" i="44"/>
  <c r="U40" i="44"/>
  <c r="U52" i="44" s="1"/>
  <c r="R8" i="44"/>
  <c r="N20" i="44"/>
  <c r="Q31" i="44"/>
  <c r="R31" i="44" s="1"/>
  <c r="Q32" i="44"/>
  <c r="R32" i="44" s="1"/>
  <c r="R30" i="44"/>
  <c r="K26" i="44"/>
  <c r="R38" i="44"/>
  <c r="K40" i="44"/>
  <c r="Q12" i="44"/>
  <c r="Q24" i="44"/>
  <c r="R24" i="44" s="1"/>
  <c r="Q43" i="44"/>
  <c r="P44" i="44"/>
  <c r="Q44" i="44" s="1"/>
  <c r="R44" i="44" s="1"/>
  <c r="N9" i="44"/>
  <c r="N52" i="44" s="1"/>
  <c r="R7" i="44"/>
  <c r="Q23" i="44"/>
  <c r="Q48" i="44"/>
  <c r="Q49" i="44" s="1"/>
  <c r="R48" i="44" l="1"/>
  <c r="R49" i="44" s="1"/>
  <c r="Q20" i="44"/>
  <c r="Q40" i="44"/>
  <c r="R9" i="44"/>
  <c r="K52" i="44"/>
  <c r="R40" i="44"/>
  <c r="P45" i="44"/>
  <c r="P52" i="44" s="1"/>
  <c r="R12" i="44"/>
  <c r="R20" i="44" s="1"/>
  <c r="Q45" i="44"/>
  <c r="R43" i="44"/>
  <c r="R45" i="44" s="1"/>
  <c r="Q26" i="44"/>
  <c r="Q52" i="44" s="1"/>
  <c r="R23" i="44"/>
  <c r="R26" i="44" s="1"/>
  <c r="N23" i="30"/>
  <c r="H23" i="30"/>
  <c r="P23" i="43"/>
  <c r="R52" i="44" l="1"/>
  <c r="K23" i="43"/>
  <c r="Q23" i="43"/>
  <c r="N8" i="43"/>
  <c r="P8" i="43"/>
  <c r="R23" i="43" l="1"/>
  <c r="K43" i="43"/>
  <c r="K35" i="43"/>
  <c r="Q35" i="43"/>
  <c r="R35" i="43" s="1"/>
  <c r="T49" i="43"/>
  <c r="S49" i="43"/>
  <c r="O49" i="43"/>
  <c r="M49" i="43"/>
  <c r="L49" i="43"/>
  <c r="J49" i="43"/>
  <c r="I49" i="43"/>
  <c r="G49" i="43"/>
  <c r="E49" i="43"/>
  <c r="U48" i="43"/>
  <c r="U49" i="43" s="1"/>
  <c r="P48" i="43"/>
  <c r="P49" i="43" s="1"/>
  <c r="N48" i="43"/>
  <c r="N49" i="43" s="1"/>
  <c r="K48" i="43"/>
  <c r="T45" i="43"/>
  <c r="S45" i="43"/>
  <c r="O45" i="43"/>
  <c r="N45" i="43"/>
  <c r="M45" i="43"/>
  <c r="L45" i="43"/>
  <c r="J45" i="43"/>
  <c r="I45" i="43"/>
  <c r="G45" i="43"/>
  <c r="E45" i="43"/>
  <c r="U44" i="43"/>
  <c r="K44" i="43"/>
  <c r="U43" i="43"/>
  <c r="P43" i="43"/>
  <c r="T40" i="43"/>
  <c r="S40" i="43"/>
  <c r="O40" i="43"/>
  <c r="M40" i="43"/>
  <c r="L40" i="43"/>
  <c r="J40" i="43"/>
  <c r="I40" i="43"/>
  <c r="G40" i="43"/>
  <c r="E40" i="43"/>
  <c r="U39" i="43"/>
  <c r="P39" i="43"/>
  <c r="N39" i="43"/>
  <c r="K39" i="43"/>
  <c r="U38" i="43"/>
  <c r="P38" i="43"/>
  <c r="N38" i="43"/>
  <c r="Q38" i="43" s="1"/>
  <c r="K38" i="43"/>
  <c r="R38" i="43" s="1"/>
  <c r="U37" i="43"/>
  <c r="P37" i="43"/>
  <c r="Q37" i="43" s="1"/>
  <c r="K37" i="43"/>
  <c r="U36" i="43"/>
  <c r="P36" i="43"/>
  <c r="N36" i="43"/>
  <c r="Q36" i="43" s="1"/>
  <c r="K36" i="43"/>
  <c r="U35" i="43"/>
  <c r="P35" i="43"/>
  <c r="N35" i="43"/>
  <c r="U34" i="43"/>
  <c r="P34" i="43"/>
  <c r="N34" i="43"/>
  <c r="Q34" i="43" s="1"/>
  <c r="K34" i="43"/>
  <c r="U33" i="43"/>
  <c r="P33" i="43"/>
  <c r="Q33" i="43" s="1"/>
  <c r="K33" i="43"/>
  <c r="U32" i="43"/>
  <c r="P32" i="43"/>
  <c r="N32" i="43"/>
  <c r="K32" i="43"/>
  <c r="U31" i="43"/>
  <c r="P31" i="43"/>
  <c r="N31" i="43"/>
  <c r="K31" i="43"/>
  <c r="U30" i="43"/>
  <c r="P30" i="43"/>
  <c r="Q30" i="43" s="1"/>
  <c r="K30" i="43"/>
  <c r="U29" i="43"/>
  <c r="P29" i="43"/>
  <c r="N29" i="43"/>
  <c r="N40" i="43" s="1"/>
  <c r="K29" i="43"/>
  <c r="T26" i="43"/>
  <c r="S26" i="43"/>
  <c r="O26" i="43"/>
  <c r="M26" i="43"/>
  <c r="L26" i="43"/>
  <c r="J26" i="43"/>
  <c r="I26" i="43"/>
  <c r="G26" i="43"/>
  <c r="E26" i="43"/>
  <c r="U25" i="43"/>
  <c r="P25" i="43"/>
  <c r="Q25" i="43" s="1"/>
  <c r="N25" i="43"/>
  <c r="K25" i="43"/>
  <c r="U24" i="43"/>
  <c r="P24" i="43"/>
  <c r="P26" i="43" s="1"/>
  <c r="N24" i="43"/>
  <c r="N26" i="43" s="1"/>
  <c r="K24" i="43"/>
  <c r="U23" i="43"/>
  <c r="U26" i="43" s="1"/>
  <c r="T20" i="43"/>
  <c r="S20" i="43"/>
  <c r="O20" i="43"/>
  <c r="M20" i="43"/>
  <c r="L20" i="43"/>
  <c r="J20" i="43"/>
  <c r="I20" i="43"/>
  <c r="G20" i="43"/>
  <c r="E20" i="43"/>
  <c r="U19" i="43"/>
  <c r="P19" i="43"/>
  <c r="N19" i="43"/>
  <c r="K19" i="43"/>
  <c r="U18" i="43"/>
  <c r="P18" i="43"/>
  <c r="N18" i="43"/>
  <c r="Q18" i="43" s="1"/>
  <c r="K18" i="43"/>
  <c r="U17" i="43"/>
  <c r="P17" i="43"/>
  <c r="Q17" i="43" s="1"/>
  <c r="K17" i="43"/>
  <c r="U16" i="43"/>
  <c r="P16" i="43"/>
  <c r="N16" i="43"/>
  <c r="Q16" i="43" s="1"/>
  <c r="K16" i="43"/>
  <c r="U15" i="43"/>
  <c r="P15" i="43"/>
  <c r="N15" i="43"/>
  <c r="Q15" i="43" s="1"/>
  <c r="K15" i="43"/>
  <c r="U14" i="43"/>
  <c r="Q14" i="43"/>
  <c r="K14" i="43"/>
  <c r="R14" i="43" s="1"/>
  <c r="U13" i="43"/>
  <c r="P13" i="43"/>
  <c r="Q13" i="43" s="1"/>
  <c r="K13" i="43"/>
  <c r="U12" i="43"/>
  <c r="P12" i="43"/>
  <c r="N12" i="43"/>
  <c r="K12" i="43"/>
  <c r="T9" i="43"/>
  <c r="S9" i="43"/>
  <c r="O9" i="43"/>
  <c r="M9" i="43"/>
  <c r="L9" i="43"/>
  <c r="J9" i="43"/>
  <c r="I9" i="43"/>
  <c r="G9" i="43"/>
  <c r="E9" i="43"/>
  <c r="U8" i="43"/>
  <c r="Q8" i="43"/>
  <c r="K8" i="43"/>
  <c r="U7" i="43"/>
  <c r="P7" i="43"/>
  <c r="P9" i="43" s="1"/>
  <c r="N7" i="43"/>
  <c r="N9" i="43" s="1"/>
  <c r="K7" i="43"/>
  <c r="K9" i="43" s="1"/>
  <c r="T52" i="43" l="1"/>
  <c r="U40" i="43"/>
  <c r="R8" i="43"/>
  <c r="M52" i="43"/>
  <c r="Q31" i="43"/>
  <c r="Q32" i="43"/>
  <c r="R33" i="43"/>
  <c r="O52" i="43"/>
  <c r="Q19" i="43"/>
  <c r="R19" i="43" s="1"/>
  <c r="R34" i="43"/>
  <c r="I52" i="43"/>
  <c r="R39" i="43"/>
  <c r="P40" i="43"/>
  <c r="R17" i="43"/>
  <c r="R36" i="43"/>
  <c r="J52" i="43"/>
  <c r="N20" i="43"/>
  <c r="R25" i="43"/>
  <c r="U9" i="43"/>
  <c r="E52" i="43"/>
  <c r="L52" i="43"/>
  <c r="S52" i="43"/>
  <c r="P20" i="43"/>
  <c r="U20" i="43"/>
  <c r="U52" i="43" s="1"/>
  <c r="R15" i="43"/>
  <c r="R18" i="43"/>
  <c r="Q29" i="43"/>
  <c r="Q40" i="43" s="1"/>
  <c r="R37" i="43"/>
  <c r="Q39" i="43"/>
  <c r="U45" i="43"/>
  <c r="Q48" i="43"/>
  <c r="Q49" i="43" s="1"/>
  <c r="G52" i="43"/>
  <c r="R30" i="43"/>
  <c r="K26" i="43"/>
  <c r="K20" i="43"/>
  <c r="N52" i="43"/>
  <c r="R16" i="43"/>
  <c r="R13" i="43"/>
  <c r="R31" i="43"/>
  <c r="R32" i="43"/>
  <c r="Q24" i="43"/>
  <c r="R24" i="43" s="1"/>
  <c r="Q43" i="43"/>
  <c r="Q45" i="43" s="1"/>
  <c r="P44" i="43"/>
  <c r="Q44" i="43" s="1"/>
  <c r="R44" i="43" s="1"/>
  <c r="K45" i="43"/>
  <c r="K40" i="43"/>
  <c r="Q7" i="43"/>
  <c r="Q9" i="43" s="1"/>
  <c r="K49" i="43"/>
  <c r="Q12" i="43"/>
  <c r="Q20" i="43" s="1"/>
  <c r="N35" i="41"/>
  <c r="P45" i="43" l="1"/>
  <c r="P52" i="43" s="1"/>
  <c r="R29" i="43"/>
  <c r="R40" i="43" s="1"/>
  <c r="R48" i="43"/>
  <c r="R49" i="43" s="1"/>
  <c r="K52" i="43"/>
  <c r="R7" i="43"/>
  <c r="R9" i="43" s="1"/>
  <c r="R43" i="43"/>
  <c r="R45" i="43" s="1"/>
  <c r="Q26" i="43"/>
  <c r="Q52" i="43" s="1"/>
  <c r="R26" i="43"/>
  <c r="R12" i="43"/>
  <c r="R20" i="43" s="1"/>
  <c r="K34" i="41"/>
  <c r="K33" i="41"/>
  <c r="K14" i="41"/>
  <c r="R52" i="43" l="1"/>
  <c r="G49" i="41"/>
  <c r="G45" i="41"/>
  <c r="G40" i="41"/>
  <c r="G26" i="41"/>
  <c r="G20" i="41"/>
  <c r="G9" i="41"/>
  <c r="G52" i="41" l="1"/>
  <c r="K35" i="41"/>
  <c r="Q14" i="41"/>
  <c r="T49" i="41" l="1"/>
  <c r="S49" i="41"/>
  <c r="O49" i="41"/>
  <c r="M49" i="41"/>
  <c r="L49" i="41"/>
  <c r="J49" i="41"/>
  <c r="I49" i="41"/>
  <c r="E49" i="41"/>
  <c r="U48" i="41"/>
  <c r="U49" i="41" s="1"/>
  <c r="P48" i="41"/>
  <c r="P49" i="41" s="1"/>
  <c r="N48" i="41"/>
  <c r="N49" i="41" s="1"/>
  <c r="K48" i="41"/>
  <c r="T45" i="41"/>
  <c r="S45" i="41"/>
  <c r="O45" i="41"/>
  <c r="N45" i="41"/>
  <c r="M45" i="41"/>
  <c r="L45" i="41"/>
  <c r="J45" i="41"/>
  <c r="I45" i="41"/>
  <c r="E45" i="41"/>
  <c r="U44" i="41"/>
  <c r="K44" i="41"/>
  <c r="U43" i="41"/>
  <c r="U45" i="41" s="1"/>
  <c r="P43" i="41"/>
  <c r="K43" i="41"/>
  <c r="T40" i="41"/>
  <c r="S40" i="41"/>
  <c r="O40" i="41"/>
  <c r="M40" i="41"/>
  <c r="L40" i="41"/>
  <c r="J40" i="41"/>
  <c r="I40" i="41"/>
  <c r="E40" i="41"/>
  <c r="U39" i="41"/>
  <c r="P39" i="41"/>
  <c r="N39" i="41"/>
  <c r="K39" i="41"/>
  <c r="U38" i="41"/>
  <c r="Q38" i="41"/>
  <c r="P38" i="41"/>
  <c r="N38" i="41"/>
  <c r="K38" i="41"/>
  <c r="U37" i="41"/>
  <c r="P37" i="41"/>
  <c r="Q37" i="41" s="1"/>
  <c r="K37" i="41"/>
  <c r="R37" i="41" s="1"/>
  <c r="U36" i="41"/>
  <c r="P36" i="41"/>
  <c r="N36" i="41"/>
  <c r="K36" i="41"/>
  <c r="U35" i="41"/>
  <c r="P35" i="41"/>
  <c r="Q35" i="41" s="1"/>
  <c r="R35" i="41" s="1"/>
  <c r="U34" i="41"/>
  <c r="P34" i="41"/>
  <c r="N34" i="41"/>
  <c r="U33" i="41"/>
  <c r="P33" i="41"/>
  <c r="Q33" i="41" s="1"/>
  <c r="R33" i="41" s="1"/>
  <c r="U32" i="41"/>
  <c r="P32" i="41"/>
  <c r="Q32" i="41" s="1"/>
  <c r="N32" i="41"/>
  <c r="K32" i="41"/>
  <c r="U31" i="41"/>
  <c r="P31" i="41"/>
  <c r="N31" i="41"/>
  <c r="K31" i="41"/>
  <c r="U30" i="41"/>
  <c r="P30" i="41"/>
  <c r="Q30" i="41" s="1"/>
  <c r="R30" i="41" s="1"/>
  <c r="K30" i="41"/>
  <c r="U29" i="41"/>
  <c r="P29" i="41"/>
  <c r="N29" i="41"/>
  <c r="N40" i="41" s="1"/>
  <c r="K29" i="41"/>
  <c r="T26" i="41"/>
  <c r="S26" i="41"/>
  <c r="O26" i="41"/>
  <c r="M26" i="41"/>
  <c r="L26" i="41"/>
  <c r="J26" i="41"/>
  <c r="I26" i="41"/>
  <c r="E26" i="41"/>
  <c r="U25" i="41"/>
  <c r="P25" i="41"/>
  <c r="N25" i="41"/>
  <c r="Q25" i="41" s="1"/>
  <c r="K25" i="41"/>
  <c r="U24" i="41"/>
  <c r="P24" i="41"/>
  <c r="N24" i="41"/>
  <c r="N26" i="41" s="1"/>
  <c r="K24" i="41"/>
  <c r="U23" i="41"/>
  <c r="U26" i="41" s="1"/>
  <c r="P23" i="41"/>
  <c r="K23" i="41"/>
  <c r="T20" i="41"/>
  <c r="S20" i="41"/>
  <c r="O20" i="41"/>
  <c r="M20" i="41"/>
  <c r="L20" i="41"/>
  <c r="J20" i="41"/>
  <c r="I20" i="41"/>
  <c r="E20" i="41"/>
  <c r="U19" i="41"/>
  <c r="P19" i="41"/>
  <c r="N19" i="41"/>
  <c r="K19" i="41"/>
  <c r="U18" i="41"/>
  <c r="P18" i="41"/>
  <c r="N18" i="41"/>
  <c r="K18" i="41"/>
  <c r="U17" i="41"/>
  <c r="P17" i="41"/>
  <c r="Q17" i="41" s="1"/>
  <c r="R17" i="41" s="1"/>
  <c r="K17" i="41"/>
  <c r="U16" i="41"/>
  <c r="P16" i="41"/>
  <c r="N16" i="41"/>
  <c r="K16" i="41"/>
  <c r="U15" i="41"/>
  <c r="P15" i="41"/>
  <c r="N15" i="41"/>
  <c r="K15" i="41"/>
  <c r="U14" i="41"/>
  <c r="R14" i="41"/>
  <c r="U13" i="41"/>
  <c r="P13" i="41"/>
  <c r="Q13" i="41" s="1"/>
  <c r="K13" i="41"/>
  <c r="U12" i="41"/>
  <c r="P12" i="41"/>
  <c r="N12" i="41"/>
  <c r="Q12" i="41" s="1"/>
  <c r="K12" i="41"/>
  <c r="T9" i="41"/>
  <c r="S9" i="41"/>
  <c r="O9" i="41"/>
  <c r="M9" i="41"/>
  <c r="L9" i="41"/>
  <c r="J9" i="41"/>
  <c r="I9" i="41"/>
  <c r="E9" i="41"/>
  <c r="U8" i="41"/>
  <c r="P8" i="41"/>
  <c r="N8" i="41"/>
  <c r="Q8" i="41" s="1"/>
  <c r="K8" i="41"/>
  <c r="U7" i="41"/>
  <c r="U9" i="41" s="1"/>
  <c r="P7" i="41"/>
  <c r="N7" i="41"/>
  <c r="Q7" i="41" s="1"/>
  <c r="K7" i="41"/>
  <c r="P26" i="41" l="1"/>
  <c r="L52" i="41"/>
  <c r="Q15" i="41"/>
  <c r="Q19" i="41"/>
  <c r="U40" i="41"/>
  <c r="K20" i="41"/>
  <c r="R13" i="41"/>
  <c r="R25" i="41"/>
  <c r="Q31" i="41"/>
  <c r="Q34" i="41"/>
  <c r="R38" i="41"/>
  <c r="Q24" i="41"/>
  <c r="R24" i="41"/>
  <c r="K9" i="41"/>
  <c r="E52" i="41"/>
  <c r="Q23" i="41"/>
  <c r="R23" i="41" s="1"/>
  <c r="R32" i="41"/>
  <c r="O52" i="41"/>
  <c r="J52" i="41"/>
  <c r="S52" i="41"/>
  <c r="P20" i="41"/>
  <c r="Q16" i="41"/>
  <c r="R16" i="41" s="1"/>
  <c r="Q18" i="41"/>
  <c r="R18" i="41" s="1"/>
  <c r="K26" i="41"/>
  <c r="P40" i="41"/>
  <c r="Q36" i="41"/>
  <c r="R36" i="41" s="1"/>
  <c r="Q39" i="41"/>
  <c r="R39" i="41" s="1"/>
  <c r="M52" i="41"/>
  <c r="U20" i="41"/>
  <c r="U52" i="41" s="1"/>
  <c r="T52" i="41"/>
  <c r="R19" i="41"/>
  <c r="R7" i="41"/>
  <c r="I52" i="41"/>
  <c r="Q26" i="41"/>
  <c r="R31" i="41"/>
  <c r="R34" i="41"/>
  <c r="R15" i="41"/>
  <c r="R26" i="41"/>
  <c r="R8" i="41"/>
  <c r="Q9" i="41"/>
  <c r="P9" i="41"/>
  <c r="N20" i="41"/>
  <c r="K40" i="41"/>
  <c r="K45" i="41"/>
  <c r="K49" i="41"/>
  <c r="N9" i="41"/>
  <c r="N52" i="41" s="1"/>
  <c r="R12" i="41"/>
  <c r="Q43" i="41"/>
  <c r="P44" i="41"/>
  <c r="Q44" i="41" s="1"/>
  <c r="R44" i="41" s="1"/>
  <c r="Q29" i="41"/>
  <c r="Q40" i="41" s="1"/>
  <c r="Q48" i="41"/>
  <c r="Q49" i="41" s="1"/>
  <c r="O43" i="40"/>
  <c r="O29" i="40"/>
  <c r="J43" i="40"/>
  <c r="J34" i="40"/>
  <c r="O34" i="40"/>
  <c r="Q20" i="41" l="1"/>
  <c r="Q45" i="41"/>
  <c r="Q52" i="41" s="1"/>
  <c r="R29" i="41"/>
  <c r="R40" i="41" s="1"/>
  <c r="R9" i="41"/>
  <c r="K52" i="41"/>
  <c r="R43" i="41"/>
  <c r="R45" i="41" s="1"/>
  <c r="R20" i="41"/>
  <c r="P45" i="41"/>
  <c r="P52" i="41" s="1"/>
  <c r="R48" i="41"/>
  <c r="R49" i="41" s="1"/>
  <c r="P43" i="40"/>
  <c r="R52" i="41" l="1"/>
  <c r="N16" i="18"/>
  <c r="N13" i="18"/>
  <c r="N12" i="18"/>
  <c r="N11" i="18"/>
  <c r="N7" i="18"/>
  <c r="N6" i="18"/>
  <c r="N5" i="18"/>
  <c r="O12" i="40" l="1"/>
  <c r="T14" i="40"/>
  <c r="O14" i="40"/>
  <c r="P14" i="40" s="1"/>
  <c r="J14" i="40"/>
  <c r="J15" i="40"/>
  <c r="M15" i="40"/>
  <c r="O15" i="40"/>
  <c r="T15" i="40"/>
  <c r="O48" i="40"/>
  <c r="O39" i="40"/>
  <c r="O38" i="40"/>
  <c r="O37" i="40"/>
  <c r="P37" i="40" s="1"/>
  <c r="O36" i="40"/>
  <c r="O35" i="40"/>
  <c r="P35" i="40" s="1"/>
  <c r="O33" i="40"/>
  <c r="P33" i="40" s="1"/>
  <c r="O32" i="40"/>
  <c r="O31" i="40"/>
  <c r="O30" i="40"/>
  <c r="P30" i="40" s="1"/>
  <c r="O25" i="40"/>
  <c r="O24" i="40"/>
  <c r="O23" i="40"/>
  <c r="P23" i="40" s="1"/>
  <c r="O19" i="40"/>
  <c r="O18" i="40"/>
  <c r="O17" i="40"/>
  <c r="P17" i="40" s="1"/>
  <c r="O16" i="40"/>
  <c r="O13" i="40"/>
  <c r="P13" i="40" s="1"/>
  <c r="O8" i="40"/>
  <c r="O7" i="40"/>
  <c r="M7" i="40"/>
  <c r="S49" i="40"/>
  <c r="R49" i="40"/>
  <c r="N49" i="40"/>
  <c r="L49" i="40"/>
  <c r="K49" i="40"/>
  <c r="I49" i="40"/>
  <c r="H49" i="40"/>
  <c r="E49" i="40"/>
  <c r="T48" i="40"/>
  <c r="T49" i="40" s="1"/>
  <c r="M48" i="40"/>
  <c r="J48" i="40"/>
  <c r="J49" i="40" s="1"/>
  <c r="S45" i="40"/>
  <c r="R45" i="40"/>
  <c r="N45" i="40"/>
  <c r="M45" i="40"/>
  <c r="L45" i="40"/>
  <c r="K45" i="40"/>
  <c r="I45" i="40"/>
  <c r="H45" i="40"/>
  <c r="E45" i="40"/>
  <c r="T44" i="40"/>
  <c r="J44" i="40"/>
  <c r="O44" i="40" s="1"/>
  <c r="P44" i="40" s="1"/>
  <c r="T43" i="40"/>
  <c r="S40" i="40"/>
  <c r="R40" i="40"/>
  <c r="N40" i="40"/>
  <c r="L40" i="40"/>
  <c r="K40" i="40"/>
  <c r="I40" i="40"/>
  <c r="H40" i="40"/>
  <c r="E40" i="40"/>
  <c r="T39" i="40"/>
  <c r="M39" i="40"/>
  <c r="J39" i="40"/>
  <c r="T38" i="40"/>
  <c r="M38" i="40"/>
  <c r="J38" i="40"/>
  <c r="T37" i="40"/>
  <c r="J37" i="40"/>
  <c r="Q37" i="40" s="1"/>
  <c r="T36" i="40"/>
  <c r="M36" i="40"/>
  <c r="P36" i="40" s="1"/>
  <c r="J36" i="40"/>
  <c r="T35" i="40"/>
  <c r="J35" i="40"/>
  <c r="T34" i="40"/>
  <c r="M34" i="40"/>
  <c r="P34" i="40" s="1"/>
  <c r="T33" i="40"/>
  <c r="J33" i="40"/>
  <c r="T32" i="40"/>
  <c r="M32" i="40"/>
  <c r="J32" i="40"/>
  <c r="T31" i="40"/>
  <c r="M31" i="40"/>
  <c r="P31" i="40" s="1"/>
  <c r="J31" i="40"/>
  <c r="T30" i="40"/>
  <c r="J30" i="40"/>
  <c r="T29" i="40"/>
  <c r="M29" i="40"/>
  <c r="J29" i="40"/>
  <c r="S26" i="40"/>
  <c r="R26" i="40"/>
  <c r="N26" i="40"/>
  <c r="L26" i="40"/>
  <c r="K26" i="40"/>
  <c r="I26" i="40"/>
  <c r="H26" i="40"/>
  <c r="E26" i="40"/>
  <c r="T25" i="40"/>
  <c r="M25" i="40"/>
  <c r="P25" i="40" s="1"/>
  <c r="J25" i="40"/>
  <c r="T24" i="40"/>
  <c r="M24" i="40"/>
  <c r="J24" i="40"/>
  <c r="T23" i="40"/>
  <c r="J23" i="40"/>
  <c r="S20" i="40"/>
  <c r="R20" i="40"/>
  <c r="N20" i="40"/>
  <c r="L20" i="40"/>
  <c r="K20" i="40"/>
  <c r="I20" i="40"/>
  <c r="H20" i="40"/>
  <c r="E20" i="40"/>
  <c r="T19" i="40"/>
  <c r="M19" i="40"/>
  <c r="P19" i="40" s="1"/>
  <c r="J19" i="40"/>
  <c r="T18" i="40"/>
  <c r="M18" i="40"/>
  <c r="J18" i="40"/>
  <c r="T17" i="40"/>
  <c r="J17" i="40"/>
  <c r="T16" i="40"/>
  <c r="M16" i="40"/>
  <c r="P16" i="40" s="1"/>
  <c r="J16" i="40"/>
  <c r="T13" i="40"/>
  <c r="J13" i="40"/>
  <c r="T12" i="40"/>
  <c r="T20" i="40" s="1"/>
  <c r="M12" i="40"/>
  <c r="J12" i="40"/>
  <c r="S9" i="40"/>
  <c r="S52" i="40" s="1"/>
  <c r="R9" i="40"/>
  <c r="N9" i="40"/>
  <c r="L9" i="40"/>
  <c r="K9" i="40"/>
  <c r="I9" i="40"/>
  <c r="H9" i="40"/>
  <c r="E9" i="40"/>
  <c r="T8" i="40"/>
  <c r="M8" i="40"/>
  <c r="P8" i="40" s="1"/>
  <c r="J8" i="40"/>
  <c r="T7" i="40"/>
  <c r="J7" i="40"/>
  <c r="P24" i="40" l="1"/>
  <c r="P32" i="40"/>
  <c r="J45" i="40"/>
  <c r="P7" i="40"/>
  <c r="P9" i="40" s="1"/>
  <c r="J26" i="40"/>
  <c r="P39" i="40"/>
  <c r="P15" i="40"/>
  <c r="Q15" i="40" s="1"/>
  <c r="I52" i="40"/>
  <c r="M40" i="40"/>
  <c r="P29" i="40"/>
  <c r="P40" i="40" s="1"/>
  <c r="K52" i="40"/>
  <c r="P18" i="40"/>
  <c r="T40" i="40"/>
  <c r="T45" i="40"/>
  <c r="T9" i="40"/>
  <c r="T52" i="40" s="1"/>
  <c r="E52" i="40"/>
  <c r="N52" i="40"/>
  <c r="M20" i="40"/>
  <c r="P12" i="40"/>
  <c r="Q12" i="40" s="1"/>
  <c r="Q19" i="40"/>
  <c r="T26" i="40"/>
  <c r="Q25" i="40"/>
  <c r="M26" i="40"/>
  <c r="P38" i="40"/>
  <c r="Q44" i="40"/>
  <c r="M49" i="40"/>
  <c r="P48" i="40"/>
  <c r="P49" i="40" s="1"/>
  <c r="L52" i="40"/>
  <c r="J20" i="40"/>
  <c r="J9" i="40"/>
  <c r="Q14" i="40"/>
  <c r="O20" i="40"/>
  <c r="Q13" i="40"/>
  <c r="R52" i="40"/>
  <c r="Q33" i="40"/>
  <c r="H52" i="40"/>
  <c r="J40" i="40"/>
  <c r="Q39" i="40"/>
  <c r="Q38" i="40"/>
  <c r="Q36" i="40"/>
  <c r="Q35" i="40"/>
  <c r="Q34" i="40"/>
  <c r="Q32" i="40"/>
  <c r="Q31" i="40"/>
  <c r="O40" i="40"/>
  <c r="Q30" i="40"/>
  <c r="Q24" i="40"/>
  <c r="O26" i="40"/>
  <c r="Q18" i="40"/>
  <c r="Q17" i="40"/>
  <c r="Q16" i="40"/>
  <c r="Q8" i="40"/>
  <c r="O9" i="40"/>
  <c r="O49" i="40"/>
  <c r="M9" i="40"/>
  <c r="Q7" i="40" l="1"/>
  <c r="M52" i="40"/>
  <c r="P20" i="40"/>
  <c r="Q48" i="40"/>
  <c r="Q49" i="40" s="1"/>
  <c r="J52" i="40"/>
  <c r="Q9" i="40"/>
  <c r="Q29" i="40"/>
  <c r="Q40" i="40" s="1"/>
  <c r="Q20" i="40"/>
  <c r="O45" i="40"/>
  <c r="O52" i="40" s="1"/>
  <c r="Q23" i="40"/>
  <c r="Q26" i="40" s="1"/>
  <c r="P26" i="40"/>
  <c r="L7" i="35"/>
  <c r="P45" i="40" l="1"/>
  <c r="P52" i="40" s="1"/>
  <c r="Q43" i="40"/>
  <c r="Q45" i="40" s="1"/>
  <c r="Q52" i="40" s="1"/>
  <c r="N22" i="35"/>
  <c r="N12" i="34"/>
  <c r="N8" i="34"/>
  <c r="L8" i="34"/>
  <c r="N7" i="34"/>
  <c r="L7" i="34"/>
  <c r="I7" i="35" l="1"/>
  <c r="R48" i="35" l="1"/>
  <c r="Q48" i="35"/>
  <c r="M48" i="35"/>
  <c r="K48" i="35"/>
  <c r="J48" i="35"/>
  <c r="H48" i="35"/>
  <c r="G48" i="35"/>
  <c r="E48" i="35"/>
  <c r="S47" i="35"/>
  <c r="S48" i="35" s="1"/>
  <c r="N47" i="35"/>
  <c r="N48" i="35" s="1"/>
  <c r="L47" i="35"/>
  <c r="L48" i="35" s="1"/>
  <c r="I47" i="35"/>
  <c r="I48" i="35" s="1"/>
  <c r="R44" i="35"/>
  <c r="Q44" i="35"/>
  <c r="M44" i="35"/>
  <c r="L44" i="35"/>
  <c r="K44" i="35"/>
  <c r="J44" i="35"/>
  <c r="H44" i="35"/>
  <c r="G44" i="35"/>
  <c r="E44" i="35"/>
  <c r="S43" i="35"/>
  <c r="I43" i="35"/>
  <c r="N43" i="35" s="1"/>
  <c r="O43" i="35" s="1"/>
  <c r="S42" i="35"/>
  <c r="S44" i="35" s="1"/>
  <c r="I42" i="35"/>
  <c r="R39" i="35"/>
  <c r="Q39" i="35"/>
  <c r="M39" i="35"/>
  <c r="K39" i="35"/>
  <c r="J39" i="35"/>
  <c r="H39" i="35"/>
  <c r="G39" i="35"/>
  <c r="E39" i="35"/>
  <c r="S38" i="35"/>
  <c r="N38" i="35"/>
  <c r="L38" i="35"/>
  <c r="O38" i="35" s="1"/>
  <c r="I38" i="35"/>
  <c r="S37" i="35"/>
  <c r="N37" i="35"/>
  <c r="L37" i="35"/>
  <c r="O37" i="35" s="1"/>
  <c r="I37" i="35"/>
  <c r="S36" i="35"/>
  <c r="N36" i="35"/>
  <c r="O36" i="35" s="1"/>
  <c r="I36" i="35"/>
  <c r="S35" i="35"/>
  <c r="N35" i="35"/>
  <c r="L35" i="35"/>
  <c r="I35" i="35"/>
  <c r="S34" i="35"/>
  <c r="N34" i="35"/>
  <c r="O34" i="35" s="1"/>
  <c r="I34" i="35"/>
  <c r="S33" i="35"/>
  <c r="N33" i="35"/>
  <c r="L33" i="35"/>
  <c r="I33" i="35"/>
  <c r="S32" i="35"/>
  <c r="N32" i="35"/>
  <c r="O32" i="35" s="1"/>
  <c r="I32" i="35"/>
  <c r="S31" i="35"/>
  <c r="N31" i="35"/>
  <c r="L31" i="35"/>
  <c r="I31" i="35"/>
  <c r="S30" i="35"/>
  <c r="N30" i="35"/>
  <c r="L30" i="35"/>
  <c r="I30" i="35"/>
  <c r="S29" i="35"/>
  <c r="N29" i="35"/>
  <c r="O29" i="35" s="1"/>
  <c r="I29" i="35"/>
  <c r="S28" i="35"/>
  <c r="N28" i="35"/>
  <c r="L28" i="35"/>
  <c r="I28" i="35"/>
  <c r="R25" i="35"/>
  <c r="Q25" i="35"/>
  <c r="M25" i="35"/>
  <c r="K25" i="35"/>
  <c r="J25" i="35"/>
  <c r="H25" i="35"/>
  <c r="G25" i="35"/>
  <c r="E25" i="35"/>
  <c r="S24" i="35"/>
  <c r="N24" i="35"/>
  <c r="L24" i="35"/>
  <c r="I24" i="35"/>
  <c r="S23" i="35"/>
  <c r="N23" i="35"/>
  <c r="L23" i="35"/>
  <c r="I23" i="35"/>
  <c r="S22" i="35"/>
  <c r="O22" i="35"/>
  <c r="I22" i="35"/>
  <c r="R19" i="35"/>
  <c r="Q19" i="35"/>
  <c r="M19" i="35"/>
  <c r="K19" i="35"/>
  <c r="J19" i="35"/>
  <c r="H19" i="35"/>
  <c r="G19" i="35"/>
  <c r="E19" i="35"/>
  <c r="S18" i="35"/>
  <c r="N18" i="35"/>
  <c r="L18" i="35"/>
  <c r="I18" i="35"/>
  <c r="S17" i="35"/>
  <c r="N17" i="35"/>
  <c r="L17" i="35"/>
  <c r="I17" i="35"/>
  <c r="S16" i="35"/>
  <c r="N16" i="35"/>
  <c r="O16" i="35" s="1"/>
  <c r="I16" i="35"/>
  <c r="S15" i="35"/>
  <c r="N15" i="35"/>
  <c r="L15" i="35"/>
  <c r="I15" i="35"/>
  <c r="S14" i="35"/>
  <c r="N14" i="35"/>
  <c r="L14" i="35"/>
  <c r="I14" i="35"/>
  <c r="S13" i="35"/>
  <c r="N13" i="35"/>
  <c r="O13" i="35" s="1"/>
  <c r="I13" i="35"/>
  <c r="S12" i="35"/>
  <c r="N12" i="35"/>
  <c r="L12" i="35"/>
  <c r="I12" i="35"/>
  <c r="R9" i="35"/>
  <c r="Q9" i="35"/>
  <c r="M9" i="35"/>
  <c r="K9" i="35"/>
  <c r="J9" i="35"/>
  <c r="H9" i="35"/>
  <c r="G9" i="35"/>
  <c r="E9" i="35"/>
  <c r="S8" i="35"/>
  <c r="N8" i="35"/>
  <c r="L8" i="35"/>
  <c r="I8" i="35"/>
  <c r="S7" i="35"/>
  <c r="O31" i="35" l="1"/>
  <c r="P32" i="35"/>
  <c r="M51" i="35"/>
  <c r="L19" i="35"/>
  <c r="H51" i="35"/>
  <c r="Q51" i="35"/>
  <c r="O35" i="35"/>
  <c r="O24" i="35"/>
  <c r="P24" i="35" s="1"/>
  <c r="P16" i="35"/>
  <c r="O30" i="35"/>
  <c r="P30" i="35" s="1"/>
  <c r="I44" i="35"/>
  <c r="E51" i="35"/>
  <c r="K51" i="35"/>
  <c r="P13" i="35"/>
  <c r="O14" i="35"/>
  <c r="P14" i="35" s="1"/>
  <c r="O17" i="35"/>
  <c r="P17" i="35" s="1"/>
  <c r="O18" i="35"/>
  <c r="P18" i="35" s="1"/>
  <c r="N42" i="35"/>
  <c r="O42" i="35" s="1"/>
  <c r="O44" i="35" s="1"/>
  <c r="O8" i="35"/>
  <c r="P8" i="35" s="1"/>
  <c r="G51" i="35"/>
  <c r="S39" i="35"/>
  <c r="N9" i="35"/>
  <c r="S9" i="35"/>
  <c r="N19" i="35"/>
  <c r="O15" i="35"/>
  <c r="P15" i="35" s="1"/>
  <c r="I25" i="35"/>
  <c r="L25" i="35"/>
  <c r="I39" i="35"/>
  <c r="R51" i="35"/>
  <c r="L39" i="35"/>
  <c r="P34" i="35"/>
  <c r="P35" i="35"/>
  <c r="P37" i="35"/>
  <c r="J51" i="35"/>
  <c r="O12" i="35"/>
  <c r="P12" i="35" s="1"/>
  <c r="O7" i="35"/>
  <c r="O9" i="35" s="1"/>
  <c r="S19" i="35"/>
  <c r="I19" i="35"/>
  <c r="S25" i="35"/>
  <c r="O23" i="35"/>
  <c r="N39" i="35"/>
  <c r="O33" i="35"/>
  <c r="P33" i="35" s="1"/>
  <c r="P29" i="35"/>
  <c r="P31" i="35"/>
  <c r="P36" i="35"/>
  <c r="P38" i="35"/>
  <c r="P43" i="35"/>
  <c r="N25" i="35"/>
  <c r="L9" i="35"/>
  <c r="O28" i="35"/>
  <c r="P42" i="35"/>
  <c r="O47" i="35"/>
  <c r="O48" i="35" s="1"/>
  <c r="I9" i="35"/>
  <c r="P22" i="35"/>
  <c r="O25" i="35" l="1"/>
  <c r="O39" i="35"/>
  <c r="I51" i="35"/>
  <c r="N44" i="35"/>
  <c r="N51" i="35" s="1"/>
  <c r="S51" i="35"/>
  <c r="P7" i="35"/>
  <c r="P9" i="35" s="1"/>
  <c r="P23" i="35"/>
  <c r="P19" i="35"/>
  <c r="L51" i="35"/>
  <c r="P47" i="35"/>
  <c r="P48" i="35" s="1"/>
  <c r="P25" i="35"/>
  <c r="O19" i="35"/>
  <c r="O51" i="35" s="1"/>
  <c r="P28" i="35"/>
  <c r="P39" i="35" s="1"/>
  <c r="P44" i="35"/>
  <c r="P51" i="35" l="1"/>
  <c r="G23" i="34" l="1"/>
  <c r="R49" i="34" l="1"/>
  <c r="Q49" i="34"/>
  <c r="M49" i="34"/>
  <c r="K49" i="34"/>
  <c r="J49" i="34"/>
  <c r="H49" i="34"/>
  <c r="G49" i="34"/>
  <c r="E49" i="34"/>
  <c r="S48" i="34"/>
  <c r="S49" i="34" s="1"/>
  <c r="N48" i="34"/>
  <c r="N49" i="34" s="1"/>
  <c r="L48" i="34"/>
  <c r="L49" i="34" s="1"/>
  <c r="I48" i="34"/>
  <c r="I49" i="34" s="1"/>
  <c r="R45" i="34"/>
  <c r="Q45" i="34"/>
  <c r="M45" i="34"/>
  <c r="K45" i="34"/>
  <c r="J45" i="34"/>
  <c r="H45" i="34"/>
  <c r="G45" i="34"/>
  <c r="E45" i="34"/>
  <c r="S44" i="34"/>
  <c r="I44" i="34"/>
  <c r="S43" i="34"/>
  <c r="L43" i="34"/>
  <c r="L45" i="34" s="1"/>
  <c r="I43" i="34"/>
  <c r="N43" i="34" s="1"/>
  <c r="R40" i="34"/>
  <c r="Q40" i="34"/>
  <c r="M40" i="34"/>
  <c r="K40" i="34"/>
  <c r="J40" i="34"/>
  <c r="H40" i="34"/>
  <c r="G40" i="34"/>
  <c r="E40" i="34"/>
  <c r="S39" i="34"/>
  <c r="N39" i="34"/>
  <c r="L39" i="34"/>
  <c r="I39" i="34"/>
  <c r="S38" i="34"/>
  <c r="N38" i="34"/>
  <c r="L38" i="34"/>
  <c r="I38" i="34"/>
  <c r="S37" i="34"/>
  <c r="N37" i="34"/>
  <c r="L37" i="34"/>
  <c r="I37" i="34"/>
  <c r="S36" i="34"/>
  <c r="N36" i="34"/>
  <c r="L36" i="34"/>
  <c r="I36" i="34"/>
  <c r="S35" i="34"/>
  <c r="N35" i="34"/>
  <c r="L35" i="34"/>
  <c r="I35" i="34"/>
  <c r="S34" i="34"/>
  <c r="N34" i="34"/>
  <c r="L34" i="34"/>
  <c r="I34" i="34"/>
  <c r="S33" i="34"/>
  <c r="N33" i="34"/>
  <c r="O33" i="34" s="1"/>
  <c r="I33" i="34"/>
  <c r="S32" i="34"/>
  <c r="N32" i="34"/>
  <c r="L32" i="34"/>
  <c r="I32" i="34"/>
  <c r="S31" i="34"/>
  <c r="N31" i="34"/>
  <c r="L31" i="34"/>
  <c r="I31" i="34"/>
  <c r="S30" i="34"/>
  <c r="N30" i="34"/>
  <c r="L30" i="34"/>
  <c r="I30" i="34"/>
  <c r="S29" i="34"/>
  <c r="N29" i="34"/>
  <c r="L29" i="34"/>
  <c r="I29" i="34"/>
  <c r="I40" i="34" s="1"/>
  <c r="R26" i="34"/>
  <c r="Q26" i="34"/>
  <c r="M26" i="34"/>
  <c r="K26" i="34"/>
  <c r="J26" i="34"/>
  <c r="H26" i="34"/>
  <c r="G26" i="34"/>
  <c r="E26" i="34"/>
  <c r="S25" i="34"/>
  <c r="N25" i="34"/>
  <c r="L25" i="34"/>
  <c r="I25" i="34"/>
  <c r="S24" i="34"/>
  <c r="N24" i="34"/>
  <c r="L24" i="34"/>
  <c r="I24" i="34"/>
  <c r="S23" i="34"/>
  <c r="S26" i="34" s="1"/>
  <c r="N23" i="34"/>
  <c r="N26" i="34" s="1"/>
  <c r="L23" i="34"/>
  <c r="L26" i="34" s="1"/>
  <c r="I23" i="34"/>
  <c r="I26" i="34" s="1"/>
  <c r="R20" i="34"/>
  <c r="Q20" i="34"/>
  <c r="M20" i="34"/>
  <c r="K20" i="34"/>
  <c r="J20" i="34"/>
  <c r="H20" i="34"/>
  <c r="G20" i="34"/>
  <c r="E20" i="34"/>
  <c r="S19" i="34"/>
  <c r="N19" i="34"/>
  <c r="L19" i="34"/>
  <c r="I19" i="34"/>
  <c r="S18" i="34"/>
  <c r="N18" i="34"/>
  <c r="L18" i="34"/>
  <c r="I18" i="34"/>
  <c r="S17" i="34"/>
  <c r="N17" i="34"/>
  <c r="L17" i="34"/>
  <c r="I17" i="34"/>
  <c r="S16" i="34"/>
  <c r="N16" i="34"/>
  <c r="L16" i="34"/>
  <c r="I16" i="34"/>
  <c r="S15" i="34"/>
  <c r="N15" i="34"/>
  <c r="L15" i="34"/>
  <c r="I15" i="34"/>
  <c r="S14" i="34"/>
  <c r="O14" i="34"/>
  <c r="I14" i="34"/>
  <c r="P14" i="34" s="1"/>
  <c r="S13" i="34"/>
  <c r="N13" i="34"/>
  <c r="L13" i="34"/>
  <c r="O13" i="34" s="1"/>
  <c r="I13" i="34"/>
  <c r="S12" i="34"/>
  <c r="L12" i="34"/>
  <c r="O12" i="34" s="1"/>
  <c r="I12" i="34"/>
  <c r="R9" i="34"/>
  <c r="R52" i="34" s="1"/>
  <c r="Q9" i="34"/>
  <c r="Q52" i="34" s="1"/>
  <c r="M9" i="34"/>
  <c r="K9" i="34"/>
  <c r="J9" i="34"/>
  <c r="J52" i="34" s="1"/>
  <c r="H9" i="34"/>
  <c r="G9" i="34"/>
  <c r="E9" i="34"/>
  <c r="S8" i="34"/>
  <c r="O8" i="34"/>
  <c r="I8" i="34"/>
  <c r="S7" i="34"/>
  <c r="N9" i="34"/>
  <c r="I7" i="34"/>
  <c r="I9" i="34" s="1"/>
  <c r="O31" i="34" l="1"/>
  <c r="S40" i="34"/>
  <c r="P8" i="34"/>
  <c r="L40" i="34"/>
  <c r="O7" i="34"/>
  <c r="O9" i="34" s="1"/>
  <c r="N20" i="34"/>
  <c r="S45" i="34"/>
  <c r="N40" i="34"/>
  <c r="S9" i="34"/>
  <c r="H52" i="34"/>
  <c r="M52" i="34"/>
  <c r="O15" i="34"/>
  <c r="P15" i="34" s="1"/>
  <c r="O16" i="34"/>
  <c r="P16" i="34" s="1"/>
  <c r="O17" i="34"/>
  <c r="P17" i="34" s="1"/>
  <c r="O18" i="34"/>
  <c r="P18" i="34" s="1"/>
  <c r="O19" i="34"/>
  <c r="P19" i="34" s="1"/>
  <c r="O24" i="34"/>
  <c r="P24" i="34" s="1"/>
  <c r="O25" i="34"/>
  <c r="P25" i="34" s="1"/>
  <c r="O30" i="34"/>
  <c r="P30" i="34" s="1"/>
  <c r="O32" i="34"/>
  <c r="O34" i="34"/>
  <c r="P34" i="34" s="1"/>
  <c r="O36" i="34"/>
  <c r="P36" i="34" s="1"/>
  <c r="O38" i="34"/>
  <c r="O39" i="34"/>
  <c r="P39" i="34" s="1"/>
  <c r="O37" i="34"/>
  <c r="P37" i="34" s="1"/>
  <c r="O35" i="34"/>
  <c r="K52" i="34"/>
  <c r="L20" i="34"/>
  <c r="P13" i="34"/>
  <c r="G52" i="34"/>
  <c r="S20" i="34"/>
  <c r="E52" i="34"/>
  <c r="I20" i="34"/>
  <c r="P7" i="34"/>
  <c r="P31" i="34"/>
  <c r="P32" i="34"/>
  <c r="P33" i="34"/>
  <c r="P35" i="34"/>
  <c r="P38" i="34"/>
  <c r="L9" i="34"/>
  <c r="P12" i="34"/>
  <c r="O23" i="34"/>
  <c r="O29" i="34"/>
  <c r="O40" i="34" s="1"/>
  <c r="O43" i="34"/>
  <c r="N44" i="34"/>
  <c r="O44" i="34" s="1"/>
  <c r="P44" i="34" s="1"/>
  <c r="O48" i="34"/>
  <c r="O49" i="34" s="1"/>
  <c r="I45" i="34"/>
  <c r="P9" i="34" l="1"/>
  <c r="S52" i="34"/>
  <c r="P29" i="34"/>
  <c r="P40" i="34" s="1"/>
  <c r="O26" i="34"/>
  <c r="O20" i="34"/>
  <c r="P20" i="34"/>
  <c r="P48" i="34"/>
  <c r="P49" i="34" s="1"/>
  <c r="P23" i="34"/>
  <c r="P26" i="34" s="1"/>
  <c r="L52" i="34"/>
  <c r="I52" i="34"/>
  <c r="O45" i="34"/>
  <c r="N45" i="34"/>
  <c r="N52" i="34" s="1"/>
  <c r="P43" i="34"/>
  <c r="P45" i="34" s="1"/>
  <c r="H49" i="33"/>
  <c r="H45" i="33"/>
  <c r="H40" i="33"/>
  <c r="H26" i="33"/>
  <c r="H20" i="33"/>
  <c r="H9" i="33"/>
  <c r="I14" i="33"/>
  <c r="O52" i="34" l="1"/>
  <c r="P52" i="34"/>
  <c r="H52" i="33"/>
  <c r="R49" i="33"/>
  <c r="Q49" i="33"/>
  <c r="M49" i="33"/>
  <c r="K49" i="33"/>
  <c r="J49" i="33"/>
  <c r="G49" i="33"/>
  <c r="E49" i="33"/>
  <c r="S48" i="33"/>
  <c r="S49" i="33" s="1"/>
  <c r="N48" i="33"/>
  <c r="N49" i="33" s="1"/>
  <c r="L48" i="33"/>
  <c r="L49" i="33" s="1"/>
  <c r="I48" i="33"/>
  <c r="I49" i="33" s="1"/>
  <c r="R45" i="33"/>
  <c r="Q45" i="33"/>
  <c r="M45" i="33"/>
  <c r="K45" i="33"/>
  <c r="J45" i="33"/>
  <c r="G45" i="33"/>
  <c r="E45" i="33"/>
  <c r="S44" i="33"/>
  <c r="I44" i="33"/>
  <c r="S43" i="33"/>
  <c r="L43" i="33"/>
  <c r="L45" i="33" s="1"/>
  <c r="I43" i="33"/>
  <c r="R40" i="33"/>
  <c r="Q40" i="33"/>
  <c r="M40" i="33"/>
  <c r="K40" i="33"/>
  <c r="J40" i="33"/>
  <c r="G40" i="33"/>
  <c r="E40" i="33"/>
  <c r="S39" i="33"/>
  <c r="N39" i="33"/>
  <c r="L39" i="33"/>
  <c r="I39" i="33"/>
  <c r="S38" i="33"/>
  <c r="N38" i="33"/>
  <c r="L38" i="33"/>
  <c r="I38" i="33"/>
  <c r="S37" i="33"/>
  <c r="N37" i="33"/>
  <c r="L37" i="33"/>
  <c r="I37" i="33"/>
  <c r="S36" i="33"/>
  <c r="N36" i="33"/>
  <c r="L36" i="33"/>
  <c r="I36" i="33"/>
  <c r="S35" i="33"/>
  <c r="N35" i="33"/>
  <c r="L35" i="33"/>
  <c r="I35" i="33"/>
  <c r="S34" i="33"/>
  <c r="N34" i="33"/>
  <c r="L34" i="33"/>
  <c r="I34" i="33"/>
  <c r="S33" i="33"/>
  <c r="N33" i="33"/>
  <c r="L33" i="33"/>
  <c r="I33" i="33"/>
  <c r="S32" i="33"/>
  <c r="N32" i="33"/>
  <c r="L32" i="33"/>
  <c r="I32" i="33"/>
  <c r="S31" i="33"/>
  <c r="N31" i="33"/>
  <c r="L31" i="33"/>
  <c r="I31" i="33"/>
  <c r="S30" i="33"/>
  <c r="N30" i="33"/>
  <c r="L30" i="33"/>
  <c r="I30" i="33"/>
  <c r="S29" i="33"/>
  <c r="S40" i="33" s="1"/>
  <c r="N29" i="33"/>
  <c r="N40" i="33" s="1"/>
  <c r="L29" i="33"/>
  <c r="I29" i="33"/>
  <c r="R26" i="33"/>
  <c r="Q26" i="33"/>
  <c r="M26" i="33"/>
  <c r="K26" i="33"/>
  <c r="J26" i="33"/>
  <c r="G26" i="33"/>
  <c r="E26" i="33"/>
  <c r="S25" i="33"/>
  <c r="N25" i="33"/>
  <c r="L25" i="33"/>
  <c r="I25" i="33"/>
  <c r="S24" i="33"/>
  <c r="N24" i="33"/>
  <c r="L24" i="33"/>
  <c r="I24" i="33"/>
  <c r="S23" i="33"/>
  <c r="S26" i="33" s="1"/>
  <c r="N23" i="33"/>
  <c r="N26" i="33" s="1"/>
  <c r="L23" i="33"/>
  <c r="L26" i="33" s="1"/>
  <c r="I23" i="33"/>
  <c r="I26" i="33" s="1"/>
  <c r="R20" i="33"/>
  <c r="Q20" i="33"/>
  <c r="M20" i="33"/>
  <c r="K20" i="33"/>
  <c r="J20" i="33"/>
  <c r="G20" i="33"/>
  <c r="E20" i="33"/>
  <c r="S19" i="33"/>
  <c r="N19" i="33"/>
  <c r="L19" i="33"/>
  <c r="I19" i="33"/>
  <c r="S18" i="33"/>
  <c r="N18" i="33"/>
  <c r="L18" i="33"/>
  <c r="I18" i="33"/>
  <c r="S17" i="33"/>
  <c r="N17" i="33"/>
  <c r="L17" i="33"/>
  <c r="I17" i="33"/>
  <c r="S16" i="33"/>
  <c r="N16" i="33"/>
  <c r="L16" i="33"/>
  <c r="I16" i="33"/>
  <c r="S15" i="33"/>
  <c r="N15" i="33"/>
  <c r="L15" i="33"/>
  <c r="I15" i="33"/>
  <c r="S14" i="33"/>
  <c r="L14" i="33"/>
  <c r="S13" i="33"/>
  <c r="N13" i="33"/>
  <c r="L13" i="33"/>
  <c r="I13" i="33"/>
  <c r="S12" i="33"/>
  <c r="N12" i="33"/>
  <c r="L12" i="33"/>
  <c r="I12" i="33"/>
  <c r="R9" i="33"/>
  <c r="Q9" i="33"/>
  <c r="M9" i="33"/>
  <c r="K9" i="33"/>
  <c r="J9" i="33"/>
  <c r="G9" i="33"/>
  <c r="E9" i="33"/>
  <c r="S8" i="33"/>
  <c r="N8" i="33"/>
  <c r="L8" i="33"/>
  <c r="I8" i="33"/>
  <c r="S7" i="33"/>
  <c r="N7" i="33"/>
  <c r="N9" i="33" s="1"/>
  <c r="L7" i="33"/>
  <c r="L9" i="33" s="1"/>
  <c r="I7" i="33"/>
  <c r="N13" i="31"/>
  <c r="L40" i="33" l="1"/>
  <c r="O8" i="33"/>
  <c r="P8" i="33" s="1"/>
  <c r="S9" i="33"/>
  <c r="I45" i="33"/>
  <c r="O14" i="33"/>
  <c r="P14" i="33"/>
  <c r="R52" i="33"/>
  <c r="S20" i="33"/>
  <c r="K52" i="33"/>
  <c r="O15" i="33"/>
  <c r="P15" i="33" s="1"/>
  <c r="O18" i="33"/>
  <c r="O12" i="33"/>
  <c r="P12" i="33" s="1"/>
  <c r="O13" i="33"/>
  <c r="P13" i="33" s="1"/>
  <c r="N43" i="33"/>
  <c r="O43" i="33" s="1"/>
  <c r="J52" i="33"/>
  <c r="Q52" i="33"/>
  <c r="S45" i="33"/>
  <c r="E52" i="33"/>
  <c r="P18" i="33"/>
  <c r="L20" i="33"/>
  <c r="L52" i="33" s="1"/>
  <c r="O16" i="33"/>
  <c r="P16" i="33" s="1"/>
  <c r="O17" i="33"/>
  <c r="P17" i="33" s="1"/>
  <c r="O19" i="33"/>
  <c r="O24" i="33"/>
  <c r="P24" i="33" s="1"/>
  <c r="O25" i="33"/>
  <c r="P25" i="33" s="1"/>
  <c r="O30" i="33"/>
  <c r="P30" i="33" s="1"/>
  <c r="O31" i="33"/>
  <c r="P31" i="33" s="1"/>
  <c r="O32" i="33"/>
  <c r="P32" i="33" s="1"/>
  <c r="O33" i="33"/>
  <c r="P33" i="33" s="1"/>
  <c r="O34" i="33"/>
  <c r="P34" i="33" s="1"/>
  <c r="O35" i="33"/>
  <c r="P35" i="33" s="1"/>
  <c r="O36" i="33"/>
  <c r="P36" i="33" s="1"/>
  <c r="O37" i="33"/>
  <c r="P37" i="33" s="1"/>
  <c r="O38" i="33"/>
  <c r="P38" i="33" s="1"/>
  <c r="O39" i="33"/>
  <c r="P39" i="33" s="1"/>
  <c r="M52" i="33"/>
  <c r="I40" i="33"/>
  <c r="G52" i="33"/>
  <c r="I20" i="33"/>
  <c r="N20" i="33"/>
  <c r="I9" i="33"/>
  <c r="O23" i="33"/>
  <c r="P23" i="33" s="1"/>
  <c r="O29" i="33"/>
  <c r="N44" i="33"/>
  <c r="O44" i="33" s="1"/>
  <c r="P44" i="33" s="1"/>
  <c r="O7" i="33"/>
  <c r="O9" i="33" s="1"/>
  <c r="O48" i="33"/>
  <c r="O49" i="33" s="1"/>
  <c r="N24" i="32"/>
  <c r="O45" i="33" l="1"/>
  <c r="O40" i="33"/>
  <c r="S52" i="33"/>
  <c r="P48" i="33"/>
  <c r="P49" i="33" s="1"/>
  <c r="O20" i="33"/>
  <c r="O26" i="33"/>
  <c r="P26" i="33"/>
  <c r="P19" i="33"/>
  <c r="P20" i="33" s="1"/>
  <c r="P29" i="33"/>
  <c r="P40" i="33" s="1"/>
  <c r="I52" i="33"/>
  <c r="P7" i="33"/>
  <c r="P9" i="33" s="1"/>
  <c r="P43" i="33"/>
  <c r="P45" i="33" s="1"/>
  <c r="N45" i="33"/>
  <c r="N52" i="33" s="1"/>
  <c r="N42" i="30"/>
  <c r="N36" i="30"/>
  <c r="O52" i="33" l="1"/>
  <c r="P52" i="33"/>
  <c r="N48" i="32"/>
  <c r="N33" i="32"/>
  <c r="N34" i="32"/>
  <c r="N35" i="32"/>
  <c r="N36" i="32"/>
  <c r="N37" i="32"/>
  <c r="N38" i="32"/>
  <c r="N39" i="32"/>
  <c r="N32" i="32"/>
  <c r="N31" i="32"/>
  <c r="N30" i="32"/>
  <c r="N29" i="32"/>
  <c r="N23" i="32"/>
  <c r="N18" i="32"/>
  <c r="N17" i="32"/>
  <c r="N16" i="32"/>
  <c r="N13" i="32"/>
  <c r="N12" i="32"/>
  <c r="N8" i="32"/>
  <c r="N7" i="32"/>
  <c r="N47" i="31"/>
  <c r="N38" i="31"/>
  <c r="N37" i="31"/>
  <c r="N36" i="31"/>
  <c r="N35" i="31"/>
  <c r="N34" i="31"/>
  <c r="N33" i="31"/>
  <c r="N32" i="31"/>
  <c r="N31" i="31"/>
  <c r="N30" i="31"/>
  <c r="N29" i="31"/>
  <c r="N28" i="31"/>
  <c r="N23" i="31"/>
  <c r="N22" i="31"/>
  <c r="N17" i="31"/>
  <c r="N16" i="31"/>
  <c r="N15" i="31"/>
  <c r="N12" i="31"/>
  <c r="N11" i="31"/>
  <c r="N7" i="31"/>
  <c r="N6" i="31"/>
  <c r="N47" i="30"/>
  <c r="N38" i="30"/>
  <c r="N37" i="30"/>
  <c r="N35" i="30"/>
  <c r="N34" i="30"/>
  <c r="N33" i="30"/>
  <c r="N31" i="30"/>
  <c r="N32" i="30"/>
  <c r="N30" i="30"/>
  <c r="N29" i="30"/>
  <c r="N28" i="30"/>
  <c r="N22" i="30"/>
  <c r="N18" i="30"/>
  <c r="N17" i="30"/>
  <c r="N16" i="30"/>
  <c r="N15" i="30"/>
  <c r="N13" i="30"/>
  <c r="N12" i="30"/>
  <c r="N11" i="30"/>
  <c r="N7" i="30"/>
  <c r="N6" i="30"/>
  <c r="R49" i="32" l="1"/>
  <c r="Q49" i="32"/>
  <c r="M49" i="32"/>
  <c r="L49" i="32"/>
  <c r="J49" i="32"/>
  <c r="I49" i="32"/>
  <c r="G49" i="32"/>
  <c r="E49" i="32"/>
  <c r="S48" i="32"/>
  <c r="S49" i="32" s="1"/>
  <c r="N49" i="32"/>
  <c r="K48" i="32"/>
  <c r="K49" i="32" s="1"/>
  <c r="H48" i="32"/>
  <c r="H49" i="32" s="1"/>
  <c r="R45" i="32"/>
  <c r="Q45" i="32"/>
  <c r="M45" i="32"/>
  <c r="L45" i="32"/>
  <c r="J45" i="32"/>
  <c r="I45" i="32"/>
  <c r="G45" i="32"/>
  <c r="E45" i="32"/>
  <c r="S44" i="32"/>
  <c r="H44" i="32"/>
  <c r="N44" i="32" s="1"/>
  <c r="S43" i="32"/>
  <c r="S45" i="32" s="1"/>
  <c r="K43" i="32"/>
  <c r="K45" i="32" s="1"/>
  <c r="H43" i="32"/>
  <c r="R40" i="32"/>
  <c r="Q40" i="32"/>
  <c r="M40" i="32"/>
  <c r="L40" i="32"/>
  <c r="J40" i="32"/>
  <c r="I40" i="32"/>
  <c r="G40" i="32"/>
  <c r="E40" i="32"/>
  <c r="S39" i="32"/>
  <c r="K39" i="32"/>
  <c r="O39" i="32" s="1"/>
  <c r="H39" i="32"/>
  <c r="S38" i="32"/>
  <c r="K38" i="32"/>
  <c r="O38" i="32" s="1"/>
  <c r="H38" i="32"/>
  <c r="S37" i="32"/>
  <c r="K37" i="32"/>
  <c r="O37" i="32" s="1"/>
  <c r="H37" i="32"/>
  <c r="S36" i="32"/>
  <c r="K36" i="32"/>
  <c r="O36" i="32" s="1"/>
  <c r="H36" i="32"/>
  <c r="S35" i="32"/>
  <c r="K35" i="32"/>
  <c r="O35" i="32" s="1"/>
  <c r="H35" i="32"/>
  <c r="S34" i="32"/>
  <c r="K34" i="32"/>
  <c r="O34" i="32" s="1"/>
  <c r="H34" i="32"/>
  <c r="S33" i="32"/>
  <c r="K33" i="32"/>
  <c r="O33" i="32" s="1"/>
  <c r="H33" i="32"/>
  <c r="S32" i="32"/>
  <c r="K32" i="32"/>
  <c r="O32" i="32" s="1"/>
  <c r="H32" i="32"/>
  <c r="S31" i="32"/>
  <c r="K31" i="32"/>
  <c r="O31" i="32" s="1"/>
  <c r="H31" i="32"/>
  <c r="S30" i="32"/>
  <c r="K30" i="32"/>
  <c r="O30" i="32" s="1"/>
  <c r="H30" i="32"/>
  <c r="S29" i="32"/>
  <c r="K29" i="32"/>
  <c r="O29" i="32" s="1"/>
  <c r="H29" i="32"/>
  <c r="R26" i="32"/>
  <c r="Q26" i="32"/>
  <c r="M26" i="32"/>
  <c r="L26" i="32"/>
  <c r="J26" i="32"/>
  <c r="I26" i="32"/>
  <c r="G26" i="32"/>
  <c r="E26" i="32"/>
  <c r="S25" i="32"/>
  <c r="N25" i="32"/>
  <c r="K25" i="32"/>
  <c r="H25" i="32"/>
  <c r="S24" i="32"/>
  <c r="K24" i="32"/>
  <c r="O24" i="32" s="1"/>
  <c r="H24" i="32"/>
  <c r="S23" i="32"/>
  <c r="S26" i="32" s="1"/>
  <c r="K23" i="32"/>
  <c r="H23" i="32"/>
  <c r="R20" i="32"/>
  <c r="Q20" i="32"/>
  <c r="M20" i="32"/>
  <c r="L20" i="32"/>
  <c r="J20" i="32"/>
  <c r="I20" i="32"/>
  <c r="G20" i="32"/>
  <c r="E20" i="32"/>
  <c r="S19" i="32"/>
  <c r="N19" i="32"/>
  <c r="K19" i="32"/>
  <c r="H19" i="32"/>
  <c r="S18" i="32"/>
  <c r="K18" i="32"/>
  <c r="O18" i="32" s="1"/>
  <c r="H18" i="32"/>
  <c r="S17" i="32"/>
  <c r="O17" i="32"/>
  <c r="K17" i="32"/>
  <c r="H17" i="32"/>
  <c r="S16" i="32"/>
  <c r="K16" i="32"/>
  <c r="O16" i="32" s="1"/>
  <c r="H16" i="32"/>
  <c r="S15" i="32"/>
  <c r="N15" i="32"/>
  <c r="N20" i="32" s="1"/>
  <c r="K15" i="32"/>
  <c r="H15" i="32"/>
  <c r="S14" i="32"/>
  <c r="K14" i="32"/>
  <c r="O14" i="32" s="1"/>
  <c r="H14" i="32"/>
  <c r="S13" i="32"/>
  <c r="K13" i="32"/>
  <c r="O13" i="32" s="1"/>
  <c r="H13" i="32"/>
  <c r="S12" i="32"/>
  <c r="K12" i="32"/>
  <c r="O12" i="32" s="1"/>
  <c r="H12" i="32"/>
  <c r="R9" i="32"/>
  <c r="R52" i="32" s="1"/>
  <c r="Q9" i="32"/>
  <c r="M9" i="32"/>
  <c r="L9" i="32"/>
  <c r="J9" i="32"/>
  <c r="J52" i="32" s="1"/>
  <c r="I9" i="32"/>
  <c r="G9" i="32"/>
  <c r="E9" i="32"/>
  <c r="S8" i="32"/>
  <c r="K8" i="32"/>
  <c r="O8" i="32" s="1"/>
  <c r="H8" i="32"/>
  <c r="S7" i="32"/>
  <c r="N9" i="32"/>
  <c r="K7" i="32"/>
  <c r="K9" i="32" s="1"/>
  <c r="H7" i="32"/>
  <c r="M52" i="32" l="1"/>
  <c r="K26" i="32"/>
  <c r="P33" i="32"/>
  <c r="O25" i="32"/>
  <c r="P25" i="32" s="1"/>
  <c r="I52" i="32"/>
  <c r="Q52" i="32"/>
  <c r="S20" i="32"/>
  <c r="P15" i="32"/>
  <c r="P16" i="32"/>
  <c r="O19" i="32"/>
  <c r="O23" i="32"/>
  <c r="P23" i="32" s="1"/>
  <c r="S40" i="32"/>
  <c r="S9" i="32"/>
  <c r="E52" i="32"/>
  <c r="L52" i="32"/>
  <c r="O15" i="32"/>
  <c r="P19" i="32"/>
  <c r="K40" i="32"/>
  <c r="H40" i="32"/>
  <c r="H45" i="32"/>
  <c r="N43" i="32"/>
  <c r="O43" i="32" s="1"/>
  <c r="P32" i="32"/>
  <c r="P31" i="32"/>
  <c r="P30" i="32"/>
  <c r="H26" i="32"/>
  <c r="P24" i="32"/>
  <c r="P18" i="32"/>
  <c r="P17" i="32"/>
  <c r="H20" i="32"/>
  <c r="P13" i="32"/>
  <c r="H9" i="32"/>
  <c r="O20" i="32"/>
  <c r="P14" i="32"/>
  <c r="G52" i="32"/>
  <c r="P34" i="32"/>
  <c r="P35" i="32"/>
  <c r="P36" i="32"/>
  <c r="P37" i="32"/>
  <c r="P38" i="32"/>
  <c r="P39" i="32"/>
  <c r="O40" i="32"/>
  <c r="P8" i="32"/>
  <c r="N26" i="32"/>
  <c r="N40" i="32"/>
  <c r="O7" i="32"/>
  <c r="O9" i="32" s="1"/>
  <c r="K20" i="32"/>
  <c r="K52" i="32" s="1"/>
  <c r="P43" i="32"/>
  <c r="O44" i="32"/>
  <c r="P44" i="32" s="1"/>
  <c r="O48" i="32"/>
  <c r="O49" i="32" s="1"/>
  <c r="P12" i="32"/>
  <c r="P29" i="32"/>
  <c r="P48" i="32"/>
  <c r="P49" i="32" s="1"/>
  <c r="R48" i="31"/>
  <c r="Q48" i="31"/>
  <c r="M48" i="31"/>
  <c r="L48" i="31"/>
  <c r="K48" i="31"/>
  <c r="J48" i="31"/>
  <c r="I48" i="31"/>
  <c r="G48" i="31"/>
  <c r="E48" i="31"/>
  <c r="S47" i="31"/>
  <c r="S48" i="31" s="1"/>
  <c r="N48" i="31"/>
  <c r="K47" i="31"/>
  <c r="H47" i="31"/>
  <c r="H48" i="31" s="1"/>
  <c r="R44" i="31"/>
  <c r="Q44" i="31"/>
  <c r="M44" i="31"/>
  <c r="L44" i="31"/>
  <c r="J44" i="31"/>
  <c r="I44" i="31"/>
  <c r="G44" i="31"/>
  <c r="E44" i="31"/>
  <c r="S43" i="31"/>
  <c r="H43" i="31"/>
  <c r="N43" i="31" s="1"/>
  <c r="S42" i="31"/>
  <c r="S44" i="31" s="1"/>
  <c r="K42" i="31"/>
  <c r="K44" i="31" s="1"/>
  <c r="H42" i="31"/>
  <c r="R39" i="31"/>
  <c r="Q39" i="31"/>
  <c r="M39" i="31"/>
  <c r="L39" i="31"/>
  <c r="J39" i="31"/>
  <c r="I39" i="31"/>
  <c r="G39" i="31"/>
  <c r="E39" i="31"/>
  <c r="S38" i="31"/>
  <c r="K38" i="31"/>
  <c r="O38" i="31" s="1"/>
  <c r="H38" i="31"/>
  <c r="S37" i="31"/>
  <c r="K37" i="31"/>
  <c r="O37" i="31" s="1"/>
  <c r="H37" i="31"/>
  <c r="S36" i="31"/>
  <c r="K36" i="31"/>
  <c r="O36" i="31" s="1"/>
  <c r="H36" i="31"/>
  <c r="S35" i="31"/>
  <c r="K35" i="31"/>
  <c r="O35" i="31" s="1"/>
  <c r="H35" i="31"/>
  <c r="S34" i="31"/>
  <c r="K34" i="31"/>
  <c r="O34" i="31" s="1"/>
  <c r="H34" i="31"/>
  <c r="S33" i="31"/>
  <c r="K33" i="31"/>
  <c r="O33" i="31" s="1"/>
  <c r="H33" i="31"/>
  <c r="S32" i="31"/>
  <c r="K32" i="31"/>
  <c r="O32" i="31" s="1"/>
  <c r="H32" i="31"/>
  <c r="S31" i="31"/>
  <c r="K31" i="31"/>
  <c r="O31" i="31" s="1"/>
  <c r="H31" i="31"/>
  <c r="S30" i="31"/>
  <c r="K30" i="31"/>
  <c r="O30" i="31" s="1"/>
  <c r="H30" i="31"/>
  <c r="S29" i="31"/>
  <c r="K29" i="31"/>
  <c r="O29" i="31" s="1"/>
  <c r="H29" i="31"/>
  <c r="S28" i="31"/>
  <c r="K28" i="31"/>
  <c r="O28" i="31" s="1"/>
  <c r="H28" i="31"/>
  <c r="R25" i="31"/>
  <c r="Q25" i="31"/>
  <c r="M25" i="31"/>
  <c r="L25" i="31"/>
  <c r="J25" i="31"/>
  <c r="I25" i="31"/>
  <c r="G25" i="31"/>
  <c r="E25" i="31"/>
  <c r="S24" i="31"/>
  <c r="N24" i="31"/>
  <c r="K24" i="31"/>
  <c r="H24" i="31"/>
  <c r="S23" i="31"/>
  <c r="K23" i="31"/>
  <c r="O23" i="31" s="1"/>
  <c r="H23" i="31"/>
  <c r="S22" i="31"/>
  <c r="K22" i="31"/>
  <c r="O22" i="31" s="1"/>
  <c r="H22" i="31"/>
  <c r="R19" i="31"/>
  <c r="Q19" i="31"/>
  <c r="M19" i="31"/>
  <c r="L19" i="31"/>
  <c r="J19" i="31"/>
  <c r="I19" i="31"/>
  <c r="G19" i="31"/>
  <c r="E19" i="31"/>
  <c r="S18" i="31"/>
  <c r="N18" i="31"/>
  <c r="K18" i="31"/>
  <c r="H18" i="31"/>
  <c r="S17" i="31"/>
  <c r="K17" i="31"/>
  <c r="O17" i="31" s="1"/>
  <c r="H17" i="31"/>
  <c r="S16" i="31"/>
  <c r="O16" i="31"/>
  <c r="K16" i="31"/>
  <c r="H16" i="31"/>
  <c r="S15" i="31"/>
  <c r="K15" i="31"/>
  <c r="O15" i="31" s="1"/>
  <c r="H15" i="31"/>
  <c r="S14" i="31"/>
  <c r="N14" i="31"/>
  <c r="K14" i="31"/>
  <c r="H14" i="31"/>
  <c r="S13" i="31"/>
  <c r="K13" i="31"/>
  <c r="O13" i="31" s="1"/>
  <c r="H13" i="31"/>
  <c r="S12" i="31"/>
  <c r="K12" i="31"/>
  <c r="O12" i="31" s="1"/>
  <c r="H12" i="31"/>
  <c r="S11" i="31"/>
  <c r="K11" i="31"/>
  <c r="O11" i="31" s="1"/>
  <c r="H11" i="31"/>
  <c r="R8" i="31"/>
  <c r="R51" i="31" s="1"/>
  <c r="Q8" i="31"/>
  <c r="M8" i="31"/>
  <c r="L8" i="31"/>
  <c r="J8" i="31"/>
  <c r="J51" i="31" s="1"/>
  <c r="I8" i="31"/>
  <c r="G8" i="31"/>
  <c r="E8" i="31"/>
  <c r="S7" i="31"/>
  <c r="K7" i="31"/>
  <c r="O7" i="31" s="1"/>
  <c r="H7" i="31"/>
  <c r="S6" i="31"/>
  <c r="N8" i="31"/>
  <c r="K6" i="31"/>
  <c r="K8" i="31" s="1"/>
  <c r="H6" i="31"/>
  <c r="E51" i="31" l="1"/>
  <c r="O24" i="31"/>
  <c r="M51" i="31"/>
  <c r="O26" i="32"/>
  <c r="S39" i="31"/>
  <c r="I51" i="31"/>
  <c r="Q51" i="31"/>
  <c r="S8" i="31"/>
  <c r="O14" i="31"/>
  <c r="H25" i="31"/>
  <c r="N45" i="32"/>
  <c r="N52" i="32" s="1"/>
  <c r="S52" i="32"/>
  <c r="S19" i="31"/>
  <c r="O18" i="31"/>
  <c r="O19" i="31" s="1"/>
  <c r="S25" i="31"/>
  <c r="L51" i="31"/>
  <c r="P40" i="32"/>
  <c r="P26" i="32"/>
  <c r="H52" i="32"/>
  <c r="P20" i="32"/>
  <c r="P7" i="32"/>
  <c r="P9" i="32" s="1"/>
  <c r="H44" i="31"/>
  <c r="N42" i="31"/>
  <c r="O42" i="31" s="1"/>
  <c r="P42" i="31" s="1"/>
  <c r="H39" i="31"/>
  <c r="P7" i="31"/>
  <c r="P45" i="32"/>
  <c r="O45" i="32"/>
  <c r="O52" i="32" s="1"/>
  <c r="G51" i="31"/>
  <c r="P11" i="31"/>
  <c r="P12" i="31"/>
  <c r="P13" i="31"/>
  <c r="P14" i="31"/>
  <c r="P15" i="31"/>
  <c r="P16" i="31"/>
  <c r="P17" i="31"/>
  <c r="P23" i="31"/>
  <c r="P24" i="31"/>
  <c r="P29" i="31"/>
  <c r="P30" i="31"/>
  <c r="P31" i="31"/>
  <c r="P32" i="31"/>
  <c r="P33" i="31"/>
  <c r="P34" i="31"/>
  <c r="P35" i="31"/>
  <c r="P36" i="31"/>
  <c r="P37" i="31"/>
  <c r="P38" i="31"/>
  <c r="O25" i="31"/>
  <c r="O39" i="31"/>
  <c r="N25" i="31"/>
  <c r="O43" i="31"/>
  <c r="P43" i="31" s="1"/>
  <c r="O47" i="31"/>
  <c r="O48" i="31" s="1"/>
  <c r="H8" i="31"/>
  <c r="N19" i="31"/>
  <c r="O6" i="31"/>
  <c r="O8" i="31" s="1"/>
  <c r="H19" i="31"/>
  <c r="P22" i="31"/>
  <c r="P28" i="31"/>
  <c r="N39" i="31"/>
  <c r="K19" i="31"/>
  <c r="K25" i="31"/>
  <c r="K39" i="31"/>
  <c r="I48" i="30"/>
  <c r="J48" i="30"/>
  <c r="L48" i="30"/>
  <c r="M48" i="30"/>
  <c r="N48" i="30"/>
  <c r="Q48" i="30"/>
  <c r="R48" i="30"/>
  <c r="G48" i="30"/>
  <c r="E48" i="30"/>
  <c r="S47" i="30"/>
  <c r="S48" i="30" s="1"/>
  <c r="K47" i="30"/>
  <c r="K48" i="30" s="1"/>
  <c r="H47" i="30"/>
  <c r="N24" i="30"/>
  <c r="I25" i="30"/>
  <c r="J25" i="30"/>
  <c r="L25" i="30"/>
  <c r="M25" i="30"/>
  <c r="Q25" i="30"/>
  <c r="R25" i="30"/>
  <c r="G25" i="30"/>
  <c r="E25" i="30"/>
  <c r="P18" i="31" l="1"/>
  <c r="O47" i="30"/>
  <c r="O48" i="30" s="1"/>
  <c r="K51" i="31"/>
  <c r="S51" i="31"/>
  <c r="P52" i="32"/>
  <c r="P47" i="31"/>
  <c r="P48" i="31" s="1"/>
  <c r="P44" i="31"/>
  <c r="N44" i="31"/>
  <c r="N51" i="31" s="1"/>
  <c r="P39" i="31"/>
  <c r="P47" i="30"/>
  <c r="P48" i="30" s="1"/>
  <c r="H48" i="30"/>
  <c r="P25" i="31"/>
  <c r="H51" i="31"/>
  <c r="O44" i="31"/>
  <c r="O51" i="31" s="1"/>
  <c r="P6" i="31"/>
  <c r="P8" i="31" s="1"/>
  <c r="P19" i="31"/>
  <c r="N14" i="30"/>
  <c r="H7" i="30"/>
  <c r="H6" i="30"/>
  <c r="R44" i="30"/>
  <c r="Q44" i="30"/>
  <c r="M44" i="30"/>
  <c r="L44" i="30"/>
  <c r="J44" i="30"/>
  <c r="I44" i="30"/>
  <c r="G44" i="30"/>
  <c r="E44" i="30"/>
  <c r="S43" i="30"/>
  <c r="H43" i="30"/>
  <c r="S42" i="30"/>
  <c r="K42" i="30"/>
  <c r="K44" i="30" s="1"/>
  <c r="H42" i="30"/>
  <c r="R39" i="30"/>
  <c r="Q39" i="30"/>
  <c r="M39" i="30"/>
  <c r="L39" i="30"/>
  <c r="J39" i="30"/>
  <c r="I39" i="30"/>
  <c r="G39" i="30"/>
  <c r="E39" i="30"/>
  <c r="S38" i="30"/>
  <c r="K38" i="30"/>
  <c r="H38" i="30"/>
  <c r="S37" i="30"/>
  <c r="K37" i="30"/>
  <c r="H37" i="30"/>
  <c r="S36" i="30"/>
  <c r="K36" i="30"/>
  <c r="H36" i="30"/>
  <c r="S35" i="30"/>
  <c r="K35" i="30"/>
  <c r="H35" i="30"/>
  <c r="S34" i="30"/>
  <c r="K34" i="30"/>
  <c r="H34" i="30"/>
  <c r="S33" i="30"/>
  <c r="K33" i="30"/>
  <c r="H33" i="30"/>
  <c r="S32" i="30"/>
  <c r="K32" i="30"/>
  <c r="H32" i="30"/>
  <c r="S31" i="30"/>
  <c r="K31" i="30"/>
  <c r="H31" i="30"/>
  <c r="S30" i="30"/>
  <c r="K30" i="30"/>
  <c r="H30" i="30"/>
  <c r="S29" i="30"/>
  <c r="K29" i="30"/>
  <c r="H29" i="30"/>
  <c r="S28" i="30"/>
  <c r="K28" i="30"/>
  <c r="H28" i="30"/>
  <c r="S24" i="30"/>
  <c r="K24" i="30"/>
  <c r="H24" i="30"/>
  <c r="O24" i="30" s="1"/>
  <c r="S23" i="30"/>
  <c r="K23" i="30"/>
  <c r="S22" i="30"/>
  <c r="K22" i="30"/>
  <c r="K25" i="30" s="1"/>
  <c r="H22" i="30"/>
  <c r="R19" i="30"/>
  <c r="Q19" i="30"/>
  <c r="M19" i="30"/>
  <c r="L19" i="30"/>
  <c r="J19" i="30"/>
  <c r="I19" i="30"/>
  <c r="G19" i="30"/>
  <c r="E19" i="30"/>
  <c r="S18" i="30"/>
  <c r="K18" i="30"/>
  <c r="H18" i="30"/>
  <c r="S17" i="30"/>
  <c r="K17" i="30"/>
  <c r="H17" i="30"/>
  <c r="S16" i="30"/>
  <c r="K16" i="30"/>
  <c r="H16" i="30"/>
  <c r="S15" i="30"/>
  <c r="K15" i="30"/>
  <c r="H15" i="30"/>
  <c r="S14" i="30"/>
  <c r="K14" i="30"/>
  <c r="H14" i="30"/>
  <c r="S13" i="30"/>
  <c r="K13" i="30"/>
  <c r="H13" i="30"/>
  <c r="S12" i="30"/>
  <c r="K12" i="30"/>
  <c r="H12" i="30"/>
  <c r="S11" i="30"/>
  <c r="K11" i="30"/>
  <c r="H11" i="30"/>
  <c r="R8" i="30"/>
  <c r="Q8" i="30"/>
  <c r="Q51" i="30" s="1"/>
  <c r="M8" i="30"/>
  <c r="M51" i="30" s="1"/>
  <c r="L8" i="30"/>
  <c r="J8" i="30"/>
  <c r="I8" i="30"/>
  <c r="I51" i="30" s="1"/>
  <c r="G8" i="30"/>
  <c r="E8" i="30"/>
  <c r="S7" i="30"/>
  <c r="K7" i="30"/>
  <c r="S6" i="30"/>
  <c r="K6" i="30"/>
  <c r="J51" i="30" l="1"/>
  <c r="R51" i="30"/>
  <c r="E51" i="30"/>
  <c r="L51" i="30"/>
  <c r="K39" i="30"/>
  <c r="S25" i="30"/>
  <c r="O34" i="30"/>
  <c r="P34" i="30" s="1"/>
  <c r="G51" i="30"/>
  <c r="P51" i="31"/>
  <c r="H25" i="30"/>
  <c r="N25" i="30"/>
  <c r="S44" i="30"/>
  <c r="O36" i="30"/>
  <c r="P36" i="30" s="1"/>
  <c r="O13" i="30"/>
  <c r="P13" i="30" s="1"/>
  <c r="O14" i="30"/>
  <c r="P14" i="30" s="1"/>
  <c r="H19" i="30"/>
  <c r="O12" i="30"/>
  <c r="P12" i="30" s="1"/>
  <c r="O35" i="30"/>
  <c r="P35" i="30" s="1"/>
  <c r="O37" i="30"/>
  <c r="P37" i="30" s="1"/>
  <c r="S8" i="30"/>
  <c r="K19" i="30"/>
  <c r="O17" i="30"/>
  <c r="P17" i="30" s="1"/>
  <c r="O18" i="30"/>
  <c r="P18" i="30" s="1"/>
  <c r="O23" i="30"/>
  <c r="P23" i="30" s="1"/>
  <c r="S39" i="30"/>
  <c r="O32" i="30"/>
  <c r="O33" i="30"/>
  <c r="P33" i="30" s="1"/>
  <c r="N43" i="30"/>
  <c r="O43" i="30" s="1"/>
  <c r="P43" i="30" s="1"/>
  <c r="S19" i="30"/>
  <c r="O15" i="30"/>
  <c r="P15" i="30" s="1"/>
  <c r="O16" i="30"/>
  <c r="P16" i="30" s="1"/>
  <c r="O30" i="30"/>
  <c r="P30" i="30" s="1"/>
  <c r="O31" i="30"/>
  <c r="P31" i="30" s="1"/>
  <c r="O38" i="30"/>
  <c r="P38" i="30" s="1"/>
  <c r="O7" i="30"/>
  <c r="P7" i="30" s="1"/>
  <c r="O6" i="30"/>
  <c r="P6" i="30" s="1"/>
  <c r="N39" i="30"/>
  <c r="O28" i="30"/>
  <c r="N8" i="30"/>
  <c r="O42" i="30"/>
  <c r="P42" i="30" s="1"/>
  <c r="K8" i="30"/>
  <c r="K51" i="30" s="1"/>
  <c r="P24" i="30"/>
  <c r="P32" i="30"/>
  <c r="H39" i="30"/>
  <c r="O22" i="30"/>
  <c r="P22" i="30" s="1"/>
  <c r="O29" i="30"/>
  <c r="P29" i="30" s="1"/>
  <c r="H44" i="30"/>
  <c r="H8" i="30"/>
  <c r="R48" i="29"/>
  <c r="Q48" i="29"/>
  <c r="M48" i="29"/>
  <c r="L48" i="29"/>
  <c r="J48" i="29"/>
  <c r="I48" i="29"/>
  <c r="G48" i="29"/>
  <c r="E48" i="29"/>
  <c r="S47" i="29"/>
  <c r="H47" i="29"/>
  <c r="S46" i="29"/>
  <c r="K46" i="29"/>
  <c r="K48" i="29" s="1"/>
  <c r="H46" i="29"/>
  <c r="N46" i="29" s="1"/>
  <c r="R43" i="29"/>
  <c r="Q43" i="29"/>
  <c r="M43" i="29"/>
  <c r="L43" i="29"/>
  <c r="J43" i="29"/>
  <c r="I43" i="29"/>
  <c r="G43" i="29"/>
  <c r="E43" i="29"/>
  <c r="S42" i="29"/>
  <c r="K42" i="29"/>
  <c r="H42" i="29"/>
  <c r="N42" i="29" s="1"/>
  <c r="S41" i="29"/>
  <c r="K41" i="29"/>
  <c r="H41" i="29"/>
  <c r="S40" i="29"/>
  <c r="K40" i="29"/>
  <c r="H40" i="29"/>
  <c r="N40" i="29" s="1"/>
  <c r="S39" i="29"/>
  <c r="K39" i="29"/>
  <c r="H39" i="29"/>
  <c r="S38" i="29"/>
  <c r="K38" i="29"/>
  <c r="H38" i="29"/>
  <c r="N38" i="29" s="1"/>
  <c r="S37" i="29"/>
  <c r="K37" i="29"/>
  <c r="H37" i="29"/>
  <c r="S36" i="29"/>
  <c r="K36" i="29"/>
  <c r="H36" i="29"/>
  <c r="N36" i="29" s="1"/>
  <c r="S35" i="29"/>
  <c r="K35" i="29"/>
  <c r="H35" i="29"/>
  <c r="S34" i="29"/>
  <c r="K34" i="29"/>
  <c r="H34" i="29"/>
  <c r="N34" i="29" s="1"/>
  <c r="S33" i="29"/>
  <c r="K33" i="29"/>
  <c r="K43" i="29" s="1"/>
  <c r="H33" i="29"/>
  <c r="S32" i="29"/>
  <c r="K32" i="29"/>
  <c r="H32" i="29"/>
  <c r="H43" i="29" s="1"/>
  <c r="R29" i="29"/>
  <c r="Q29" i="29"/>
  <c r="M29" i="29"/>
  <c r="L29" i="29"/>
  <c r="J29" i="29"/>
  <c r="I29" i="29"/>
  <c r="G29" i="29"/>
  <c r="E29" i="29"/>
  <c r="S28" i="29"/>
  <c r="K28" i="29"/>
  <c r="H28" i="29"/>
  <c r="N28" i="29" s="1"/>
  <c r="O28" i="29" s="1"/>
  <c r="S27" i="29"/>
  <c r="S29" i="29" s="1"/>
  <c r="K27" i="29"/>
  <c r="H27" i="29"/>
  <c r="R24" i="29"/>
  <c r="Q24" i="29"/>
  <c r="M24" i="29"/>
  <c r="L24" i="29"/>
  <c r="J24" i="29"/>
  <c r="I24" i="29"/>
  <c r="G24" i="29"/>
  <c r="E24" i="29"/>
  <c r="S23" i="29"/>
  <c r="S24" i="29" s="1"/>
  <c r="K23" i="29"/>
  <c r="K24" i="29" s="1"/>
  <c r="H23" i="29"/>
  <c r="H24" i="29" s="1"/>
  <c r="R20" i="29"/>
  <c r="Q20" i="29"/>
  <c r="M20" i="29"/>
  <c r="L20" i="29"/>
  <c r="J20" i="29"/>
  <c r="I20" i="29"/>
  <c r="G20" i="29"/>
  <c r="E20" i="29"/>
  <c r="S19" i="29"/>
  <c r="K19" i="29"/>
  <c r="H19" i="29"/>
  <c r="N19" i="29" s="1"/>
  <c r="S18" i="29"/>
  <c r="K18" i="29"/>
  <c r="H18" i="29"/>
  <c r="N18" i="29" s="1"/>
  <c r="O18" i="29" s="1"/>
  <c r="S17" i="29"/>
  <c r="K17" i="29"/>
  <c r="H17" i="29"/>
  <c r="N17" i="29" s="1"/>
  <c r="S16" i="29"/>
  <c r="K16" i="29"/>
  <c r="H16" i="29"/>
  <c r="N16" i="29" s="1"/>
  <c r="S15" i="29"/>
  <c r="K15" i="29"/>
  <c r="H15" i="29"/>
  <c r="N15" i="29" s="1"/>
  <c r="S14" i="29"/>
  <c r="K14" i="29"/>
  <c r="H14" i="29"/>
  <c r="N14" i="29" s="1"/>
  <c r="O14" i="29" s="1"/>
  <c r="S13" i="29"/>
  <c r="K13" i="29"/>
  <c r="H13" i="29"/>
  <c r="N13" i="29" s="1"/>
  <c r="S12" i="29"/>
  <c r="K12" i="29"/>
  <c r="H12" i="29"/>
  <c r="R9" i="29"/>
  <c r="Q9" i="29"/>
  <c r="Q51" i="29" s="1"/>
  <c r="M9" i="29"/>
  <c r="L9" i="29"/>
  <c r="J9" i="29"/>
  <c r="I9" i="29"/>
  <c r="I51" i="29" s="1"/>
  <c r="G9" i="29"/>
  <c r="E9" i="29"/>
  <c r="S8" i="29"/>
  <c r="K8" i="29"/>
  <c r="O8" i="29" s="1"/>
  <c r="P8" i="29" s="1"/>
  <c r="S7" i="29"/>
  <c r="K7" i="29"/>
  <c r="H7" i="29"/>
  <c r="N7" i="29" s="1"/>
  <c r="S6" i="29"/>
  <c r="S9" i="29" s="1"/>
  <c r="K6" i="29"/>
  <c r="H6" i="29"/>
  <c r="R51" i="29" l="1"/>
  <c r="O40" i="29"/>
  <c r="O36" i="29"/>
  <c r="E51" i="29"/>
  <c r="H20" i="29"/>
  <c r="L51" i="29"/>
  <c r="G51" i="29"/>
  <c r="M51" i="29"/>
  <c r="K20" i="29"/>
  <c r="O16" i="29"/>
  <c r="K29" i="29"/>
  <c r="O34" i="29"/>
  <c r="P34" i="29" s="1"/>
  <c r="O38" i="29"/>
  <c r="S48" i="29"/>
  <c r="O42" i="29"/>
  <c r="O15" i="29"/>
  <c r="N32" i="29"/>
  <c r="O32" i="29" s="1"/>
  <c r="P32" i="29" s="1"/>
  <c r="S51" i="30"/>
  <c r="O13" i="29"/>
  <c r="P13" i="29" s="1"/>
  <c r="S43" i="29"/>
  <c r="O19" i="29"/>
  <c r="P36" i="29"/>
  <c r="P38" i="29"/>
  <c r="P40" i="29"/>
  <c r="P42" i="29"/>
  <c r="S20" i="29"/>
  <c r="S51" i="29" s="1"/>
  <c r="O17" i="29"/>
  <c r="P17" i="29" s="1"/>
  <c r="N47" i="29"/>
  <c r="O47" i="29" s="1"/>
  <c r="P47" i="29" s="1"/>
  <c r="N44" i="30"/>
  <c r="H51" i="30"/>
  <c r="O25" i="30"/>
  <c r="P44" i="30"/>
  <c r="P25" i="30"/>
  <c r="O44" i="30"/>
  <c r="O39" i="30"/>
  <c r="P8" i="30"/>
  <c r="O8" i="30"/>
  <c r="N19" i="30"/>
  <c r="O11" i="30"/>
  <c r="P28" i="30"/>
  <c r="P39" i="30" s="1"/>
  <c r="J51" i="29"/>
  <c r="P15" i="29"/>
  <c r="O46" i="29"/>
  <c r="O48" i="29" s="1"/>
  <c r="O7" i="29"/>
  <c r="P19" i="29"/>
  <c r="K9" i="29"/>
  <c r="K51" i="29" s="1"/>
  <c r="N6" i="29"/>
  <c r="N9" i="29" s="1"/>
  <c r="P7" i="29"/>
  <c r="H9" i="29"/>
  <c r="P14" i="29"/>
  <c r="P16" i="29"/>
  <c r="P18" i="29"/>
  <c r="N23" i="29"/>
  <c r="N24" i="29" s="1"/>
  <c r="N27" i="29"/>
  <c r="N29" i="29" s="1"/>
  <c r="P28" i="29"/>
  <c r="H29" i="29"/>
  <c r="N33" i="29"/>
  <c r="O33" i="29" s="1"/>
  <c r="P33" i="29" s="1"/>
  <c r="N35" i="29"/>
  <c r="N37" i="29"/>
  <c r="O37" i="29" s="1"/>
  <c r="P37" i="29" s="1"/>
  <c r="N39" i="29"/>
  <c r="O39" i="29" s="1"/>
  <c r="P39" i="29" s="1"/>
  <c r="N41" i="29"/>
  <c r="O41" i="29" s="1"/>
  <c r="P41" i="29" s="1"/>
  <c r="H48" i="29"/>
  <c r="N12" i="29"/>
  <c r="F51" i="24"/>
  <c r="G9" i="24"/>
  <c r="I9" i="24"/>
  <c r="J9" i="24"/>
  <c r="L9" i="24"/>
  <c r="M9" i="24"/>
  <c r="Q9" i="24"/>
  <c r="R9" i="24"/>
  <c r="E9" i="24"/>
  <c r="S8" i="24"/>
  <c r="K8" i="24"/>
  <c r="O8" i="24" s="1"/>
  <c r="P8" i="24" s="1"/>
  <c r="F51" i="27"/>
  <c r="G9" i="27"/>
  <c r="I9" i="27"/>
  <c r="J9" i="27"/>
  <c r="L9" i="27"/>
  <c r="M9" i="27"/>
  <c r="Q9" i="27"/>
  <c r="R9" i="27"/>
  <c r="E9" i="27"/>
  <c r="S8" i="27"/>
  <c r="K8" i="27"/>
  <c r="O8" i="27" s="1"/>
  <c r="P8" i="27" s="1"/>
  <c r="I9" i="28"/>
  <c r="J9" i="28"/>
  <c r="L9" i="28"/>
  <c r="M9" i="28"/>
  <c r="Q9" i="28"/>
  <c r="R9" i="28"/>
  <c r="E9" i="28"/>
  <c r="S8" i="28"/>
  <c r="K8" i="28"/>
  <c r="O8" i="28" s="1"/>
  <c r="P8" i="28" s="1"/>
  <c r="N43" i="29" l="1"/>
  <c r="N48" i="29"/>
  <c r="N51" i="30"/>
  <c r="O19" i="30"/>
  <c r="O51" i="30" s="1"/>
  <c r="P11" i="30"/>
  <c r="P19" i="30" s="1"/>
  <c r="P51" i="30" s="1"/>
  <c r="P46" i="29"/>
  <c r="P48" i="29" s="1"/>
  <c r="O27" i="29"/>
  <c r="O29" i="29" s="1"/>
  <c r="O12" i="29"/>
  <c r="N20" i="29"/>
  <c r="O23" i="29"/>
  <c r="H51" i="29"/>
  <c r="O35" i="29"/>
  <c r="P35" i="29" s="1"/>
  <c r="P43" i="29" s="1"/>
  <c r="N51" i="29"/>
  <c r="O6" i="29"/>
  <c r="K23" i="28"/>
  <c r="O43" i="29" l="1"/>
  <c r="P27" i="29"/>
  <c r="P29" i="29" s="1"/>
  <c r="O9" i="29"/>
  <c r="P6" i="29"/>
  <c r="P9" i="29" s="1"/>
  <c r="O24" i="29"/>
  <c r="P23" i="29"/>
  <c r="P24" i="29" s="1"/>
  <c r="O20" i="29"/>
  <c r="P12" i="29"/>
  <c r="P20" i="29" s="1"/>
  <c r="R48" i="28"/>
  <c r="Q48" i="28"/>
  <c r="M48" i="28"/>
  <c r="L48" i="28"/>
  <c r="J48" i="28"/>
  <c r="I48" i="28"/>
  <c r="G48" i="28"/>
  <c r="E48" i="28"/>
  <c r="S47" i="28"/>
  <c r="H47" i="28"/>
  <c r="N47" i="28" s="1"/>
  <c r="O47" i="28" s="1"/>
  <c r="P47" i="28" s="1"/>
  <c r="S46" i="28"/>
  <c r="S48" i="28" s="1"/>
  <c r="K46" i="28"/>
  <c r="K48" i="28" s="1"/>
  <c r="H46" i="28"/>
  <c r="R43" i="28"/>
  <c r="Q43" i="28"/>
  <c r="M43" i="28"/>
  <c r="L43" i="28"/>
  <c r="J43" i="28"/>
  <c r="I43" i="28"/>
  <c r="G43" i="28"/>
  <c r="E43" i="28"/>
  <c r="S42" i="28"/>
  <c r="K42" i="28"/>
  <c r="H42" i="28"/>
  <c r="N42" i="28" s="1"/>
  <c r="S41" i="28"/>
  <c r="K41" i="28"/>
  <c r="H41" i="28"/>
  <c r="N41" i="28" s="1"/>
  <c r="O41" i="28" s="1"/>
  <c r="S40" i="28"/>
  <c r="K40" i="28"/>
  <c r="H40" i="28"/>
  <c r="N40" i="28" s="1"/>
  <c r="S39" i="28"/>
  <c r="K39" i="28"/>
  <c r="H39" i="28"/>
  <c r="N39" i="28" s="1"/>
  <c r="S38" i="28"/>
  <c r="K38" i="28"/>
  <c r="H38" i="28"/>
  <c r="N38" i="28" s="1"/>
  <c r="S37" i="28"/>
  <c r="K37" i="28"/>
  <c r="H37" i="28"/>
  <c r="N37" i="28" s="1"/>
  <c r="O37" i="28" s="1"/>
  <c r="S36" i="28"/>
  <c r="K36" i="28"/>
  <c r="H36" i="28"/>
  <c r="N36" i="28" s="1"/>
  <c r="S35" i="28"/>
  <c r="K35" i="28"/>
  <c r="H35" i="28"/>
  <c r="N35" i="28" s="1"/>
  <c r="S34" i="28"/>
  <c r="K34" i="28"/>
  <c r="H34" i="28"/>
  <c r="N34" i="28" s="1"/>
  <c r="S33" i="28"/>
  <c r="K33" i="28"/>
  <c r="H33" i="28"/>
  <c r="N33" i="28" s="1"/>
  <c r="S32" i="28"/>
  <c r="K32" i="28"/>
  <c r="H32" i="28"/>
  <c r="N32" i="28" s="1"/>
  <c r="R29" i="28"/>
  <c r="Q29" i="28"/>
  <c r="M29" i="28"/>
  <c r="L29" i="28"/>
  <c r="J29" i="28"/>
  <c r="I29" i="28"/>
  <c r="G29" i="28"/>
  <c r="E29" i="28"/>
  <c r="S28" i="28"/>
  <c r="K28" i="28"/>
  <c r="H28" i="28"/>
  <c r="N28" i="28" s="1"/>
  <c r="S27" i="28"/>
  <c r="K27" i="28"/>
  <c r="H27" i="28"/>
  <c r="N27" i="28" s="1"/>
  <c r="R24" i="28"/>
  <c r="Q24" i="28"/>
  <c r="M24" i="28"/>
  <c r="L24" i="28"/>
  <c r="K24" i="28"/>
  <c r="J24" i="28"/>
  <c r="I24" i="28"/>
  <c r="G24" i="28"/>
  <c r="E24" i="28"/>
  <c r="S23" i="28"/>
  <c r="S24" i="28" s="1"/>
  <c r="H23" i="28"/>
  <c r="H24" i="28" s="1"/>
  <c r="R20" i="28"/>
  <c r="R51" i="28" s="1"/>
  <c r="Q20" i="28"/>
  <c r="M20" i="28"/>
  <c r="L20" i="28"/>
  <c r="J20" i="28"/>
  <c r="J51" i="28" s="1"/>
  <c r="I20" i="28"/>
  <c r="G20" i="28"/>
  <c r="E20" i="28"/>
  <c r="S19" i="28"/>
  <c r="K19" i="28"/>
  <c r="H19" i="28"/>
  <c r="S18" i="28"/>
  <c r="K18" i="28"/>
  <c r="H18" i="28"/>
  <c r="N18" i="28" s="1"/>
  <c r="S17" i="28"/>
  <c r="K17" i="28"/>
  <c r="H17" i="28"/>
  <c r="N17" i="28" s="1"/>
  <c r="S16" i="28"/>
  <c r="K16" i="28"/>
  <c r="H16" i="28"/>
  <c r="N16" i="28" s="1"/>
  <c r="S15" i="28"/>
  <c r="K15" i="28"/>
  <c r="H15" i="28"/>
  <c r="N15" i="28" s="1"/>
  <c r="S14" i="28"/>
  <c r="K14" i="28"/>
  <c r="H14" i="28"/>
  <c r="N14" i="28" s="1"/>
  <c r="S13" i="28"/>
  <c r="K13" i="28"/>
  <c r="H13" i="28"/>
  <c r="N13" i="28" s="1"/>
  <c r="S12" i="28"/>
  <c r="K12" i="28"/>
  <c r="H12" i="28"/>
  <c r="G9" i="28"/>
  <c r="G51" i="28" s="1"/>
  <c r="S7" i="28"/>
  <c r="K7" i="28"/>
  <c r="H7" i="28"/>
  <c r="N7" i="28" s="1"/>
  <c r="S6" i="28"/>
  <c r="S9" i="28" s="1"/>
  <c r="K6" i="28"/>
  <c r="H6" i="28"/>
  <c r="Q28" i="8"/>
  <c r="L51" i="28" l="1"/>
  <c r="K29" i="28"/>
  <c r="E51" i="28"/>
  <c r="H9" i="28"/>
  <c r="I51" i="28"/>
  <c r="Q51" i="28"/>
  <c r="O35" i="28"/>
  <c r="O33" i="28"/>
  <c r="O15" i="28"/>
  <c r="P51" i="29"/>
  <c r="O51" i="29"/>
  <c r="K9" i="28"/>
  <c r="O16" i="28"/>
  <c r="P16" i="28" s="1"/>
  <c r="M51" i="28"/>
  <c r="O17" i="28"/>
  <c r="O39" i="28"/>
  <c r="P39" i="28" s="1"/>
  <c r="O7" i="28"/>
  <c r="P7" i="28" s="1"/>
  <c r="N6" i="28"/>
  <c r="N9" i="28" s="1"/>
  <c r="N19" i="28"/>
  <c r="O19" i="28" s="1"/>
  <c r="P19" i="28" s="1"/>
  <c r="S29" i="28"/>
  <c r="S20" i="28"/>
  <c r="K43" i="28"/>
  <c r="S43" i="28"/>
  <c r="O13" i="28"/>
  <c r="P13" i="28" s="1"/>
  <c r="N23" i="28"/>
  <c r="O18" i="28"/>
  <c r="P18" i="28" s="1"/>
  <c r="N43" i="28"/>
  <c r="P35" i="28"/>
  <c r="O14" i="28"/>
  <c r="P14" i="28" s="1"/>
  <c r="P17" i="28"/>
  <c r="O34" i="28"/>
  <c r="P34" i="28" s="1"/>
  <c r="O36" i="28"/>
  <c r="P36" i="28" s="1"/>
  <c r="O38" i="28"/>
  <c r="P38" i="28" s="1"/>
  <c r="O40" i="28"/>
  <c r="P40" i="28" s="1"/>
  <c r="O42" i="28"/>
  <c r="P42" i="28" s="1"/>
  <c r="H43" i="28"/>
  <c r="N46" i="28"/>
  <c r="N48" i="28" s="1"/>
  <c r="H48" i="28"/>
  <c r="O28" i="28"/>
  <c r="P28" i="28" s="1"/>
  <c r="O6" i="28"/>
  <c r="O9" i="28" s="1"/>
  <c r="H20" i="28"/>
  <c r="N12" i="28"/>
  <c r="N20" i="28" s="1"/>
  <c r="K20" i="28"/>
  <c r="P15" i="28"/>
  <c r="N29" i="28"/>
  <c r="O27" i="28"/>
  <c r="H29" i="28"/>
  <c r="P33" i="28"/>
  <c r="P37" i="28"/>
  <c r="P41" i="28"/>
  <c r="O32" i="28"/>
  <c r="F50" i="22"/>
  <c r="H51" i="28" l="1"/>
  <c r="S51" i="28"/>
  <c r="K51" i="28"/>
  <c r="O29" i="28"/>
  <c r="O12" i="28"/>
  <c r="O20" i="28" s="1"/>
  <c r="P6" i="28"/>
  <c r="P9" i="28" s="1"/>
  <c r="O46" i="28"/>
  <c r="O23" i="28"/>
  <c r="N24" i="28"/>
  <c r="N51" i="28" s="1"/>
  <c r="O43" i="28"/>
  <c r="P32" i="28"/>
  <c r="P43" i="28" s="1"/>
  <c r="P27" i="28"/>
  <c r="P29" i="28" s="1"/>
  <c r="F50" i="18"/>
  <c r="P12" i="28" l="1"/>
  <c r="P20" i="28" s="1"/>
  <c r="O48" i="28"/>
  <c r="P46" i="28"/>
  <c r="P48" i="28" s="1"/>
  <c r="O24" i="28"/>
  <c r="O51" i="28" s="1"/>
  <c r="P23" i="28"/>
  <c r="P24" i="28" s="1"/>
  <c r="H47" i="27"/>
  <c r="N47" i="27" s="1"/>
  <c r="H46" i="27"/>
  <c r="N46" i="27" s="1"/>
  <c r="H33" i="27"/>
  <c r="N33" i="27" s="1"/>
  <c r="H34" i="27"/>
  <c r="N34" i="27" s="1"/>
  <c r="H35" i="27"/>
  <c r="N35" i="27" s="1"/>
  <c r="H36" i="27"/>
  <c r="N36" i="27" s="1"/>
  <c r="H37" i="27"/>
  <c r="N37" i="27" s="1"/>
  <c r="H38" i="27"/>
  <c r="N38" i="27" s="1"/>
  <c r="H39" i="27"/>
  <c r="N39" i="27" s="1"/>
  <c r="H40" i="27"/>
  <c r="N40" i="27" s="1"/>
  <c r="H41" i="27"/>
  <c r="N41" i="27" s="1"/>
  <c r="H42" i="27"/>
  <c r="N42" i="27" s="1"/>
  <c r="H32" i="27"/>
  <c r="N32" i="27" s="1"/>
  <c r="H28" i="27"/>
  <c r="N28" i="27" s="1"/>
  <c r="H27" i="27"/>
  <c r="N27" i="27" s="1"/>
  <c r="H23" i="27"/>
  <c r="N23" i="27" s="1"/>
  <c r="H13" i="27"/>
  <c r="N13" i="27" s="1"/>
  <c r="H14" i="27"/>
  <c r="N14" i="27" s="1"/>
  <c r="H15" i="27"/>
  <c r="N15" i="27" s="1"/>
  <c r="H16" i="27"/>
  <c r="N16" i="27" s="1"/>
  <c r="H17" i="27"/>
  <c r="N17" i="27" s="1"/>
  <c r="H18" i="27"/>
  <c r="N18" i="27" s="1"/>
  <c r="H19" i="27"/>
  <c r="N19" i="27" s="1"/>
  <c r="H12" i="27"/>
  <c r="N12" i="27" s="1"/>
  <c r="P51" i="28" l="1"/>
  <c r="R48" i="27"/>
  <c r="Q48" i="27"/>
  <c r="M48" i="27"/>
  <c r="L48" i="27"/>
  <c r="J48" i="27"/>
  <c r="I48" i="27"/>
  <c r="G48" i="27"/>
  <c r="E48" i="27"/>
  <c r="S47" i="27"/>
  <c r="O47" i="27"/>
  <c r="P47" i="27" s="1"/>
  <c r="S46" i="27"/>
  <c r="S48" i="27" s="1"/>
  <c r="N48" i="27"/>
  <c r="K46" i="27"/>
  <c r="K48" i="27" s="1"/>
  <c r="H48" i="27"/>
  <c r="R43" i="27"/>
  <c r="Q43" i="27"/>
  <c r="M43" i="27"/>
  <c r="L43" i="27"/>
  <c r="J43" i="27"/>
  <c r="I43" i="27"/>
  <c r="G43" i="27"/>
  <c r="E43" i="27"/>
  <c r="S42" i="27"/>
  <c r="K42" i="27"/>
  <c r="O42" i="27" s="1"/>
  <c r="S41" i="27"/>
  <c r="K41" i="27"/>
  <c r="O41" i="27" s="1"/>
  <c r="S40" i="27"/>
  <c r="K40" i="27"/>
  <c r="O40" i="27" s="1"/>
  <c r="S39" i="27"/>
  <c r="K39" i="27"/>
  <c r="O39" i="27" s="1"/>
  <c r="P39" i="27" s="1"/>
  <c r="S38" i="27"/>
  <c r="K38" i="27"/>
  <c r="O38" i="27" s="1"/>
  <c r="S37" i="27"/>
  <c r="K37" i="27"/>
  <c r="O37" i="27" s="1"/>
  <c r="P37" i="27" s="1"/>
  <c r="S36" i="27"/>
  <c r="K36" i="27"/>
  <c r="O36" i="27" s="1"/>
  <c r="P36" i="27" s="1"/>
  <c r="S35" i="27"/>
  <c r="K35" i="27"/>
  <c r="O35" i="27" s="1"/>
  <c r="P35" i="27" s="1"/>
  <c r="S34" i="27"/>
  <c r="K34" i="27"/>
  <c r="O34" i="27" s="1"/>
  <c r="P34" i="27" s="1"/>
  <c r="S33" i="27"/>
  <c r="K33" i="27"/>
  <c r="O33" i="27" s="1"/>
  <c r="P33" i="27" s="1"/>
  <c r="S32" i="27"/>
  <c r="S43" i="27" s="1"/>
  <c r="N43" i="27"/>
  <c r="K32" i="27"/>
  <c r="H43" i="27"/>
  <c r="R29" i="27"/>
  <c r="Q29" i="27"/>
  <c r="M29" i="27"/>
  <c r="L29" i="27"/>
  <c r="J29" i="27"/>
  <c r="I29" i="27"/>
  <c r="G29" i="27"/>
  <c r="E29" i="27"/>
  <c r="S28" i="27"/>
  <c r="K28" i="27"/>
  <c r="O28" i="27" s="1"/>
  <c r="H29" i="27"/>
  <c r="S27" i="27"/>
  <c r="N29" i="27"/>
  <c r="K27" i="27"/>
  <c r="K29" i="27" s="1"/>
  <c r="R24" i="27"/>
  <c r="Q24" i="27"/>
  <c r="M24" i="27"/>
  <c r="L24" i="27"/>
  <c r="J24" i="27"/>
  <c r="I24" i="27"/>
  <c r="G24" i="27"/>
  <c r="E24" i="27"/>
  <c r="S23" i="27"/>
  <c r="S24" i="27" s="1"/>
  <c r="N24" i="27"/>
  <c r="K23" i="27"/>
  <c r="O23" i="27" s="1"/>
  <c r="O24" i="27" s="1"/>
  <c r="H24" i="27"/>
  <c r="R20" i="27"/>
  <c r="Q20" i="27"/>
  <c r="Q51" i="27" s="1"/>
  <c r="M20" i="27"/>
  <c r="M51" i="27" s="1"/>
  <c r="L20" i="27"/>
  <c r="J20" i="27"/>
  <c r="I20" i="27"/>
  <c r="I51" i="27" s="1"/>
  <c r="G20" i="27"/>
  <c r="G51" i="27" s="1"/>
  <c r="E20" i="27"/>
  <c r="S19" i="27"/>
  <c r="K19" i="27"/>
  <c r="O19" i="27" s="1"/>
  <c r="P19" i="27" s="1"/>
  <c r="S18" i="27"/>
  <c r="K18" i="27"/>
  <c r="O18" i="27" s="1"/>
  <c r="S17" i="27"/>
  <c r="K17" i="27"/>
  <c r="O17" i="27" s="1"/>
  <c r="P17" i="27" s="1"/>
  <c r="S16" i="27"/>
  <c r="K16" i="27"/>
  <c r="O16" i="27" s="1"/>
  <c r="S15" i="27"/>
  <c r="K15" i="27"/>
  <c r="O15" i="27" s="1"/>
  <c r="P15" i="27" s="1"/>
  <c r="S14" i="27"/>
  <c r="K14" i="27"/>
  <c r="O14" i="27" s="1"/>
  <c r="P14" i="27" s="1"/>
  <c r="S13" i="27"/>
  <c r="N20" i="27"/>
  <c r="K13" i="27"/>
  <c r="O13" i="27" s="1"/>
  <c r="P13" i="27" s="1"/>
  <c r="S12" i="27"/>
  <c r="K12" i="27"/>
  <c r="O12" i="27" s="1"/>
  <c r="H20" i="27"/>
  <c r="S7" i="27"/>
  <c r="K7" i="27"/>
  <c r="H7" i="27"/>
  <c r="N7" i="27" s="1"/>
  <c r="S6" i="27"/>
  <c r="K6" i="27"/>
  <c r="H6" i="27"/>
  <c r="J51" i="27" l="1"/>
  <c r="R51" i="27"/>
  <c r="E51" i="27"/>
  <c r="L51" i="27"/>
  <c r="O7" i="27"/>
  <c r="S20" i="27"/>
  <c r="N6" i="27"/>
  <c r="O6" i="27" s="1"/>
  <c r="P6" i="27" s="1"/>
  <c r="K9" i="27"/>
  <c r="O27" i="27"/>
  <c r="P27" i="27" s="1"/>
  <c r="S29" i="27"/>
  <c r="S9" i="27"/>
  <c r="S51" i="27" s="1"/>
  <c r="H9" i="27"/>
  <c r="H51" i="27" s="1"/>
  <c r="K43" i="27"/>
  <c r="K24" i="27"/>
  <c r="O20" i="27"/>
  <c r="P16" i="27"/>
  <c r="O29" i="27"/>
  <c r="P18" i="27"/>
  <c r="P38" i="27"/>
  <c r="P40" i="27"/>
  <c r="P41" i="27"/>
  <c r="P42" i="27"/>
  <c r="K20" i="27"/>
  <c r="O32" i="27"/>
  <c r="O43" i="27" s="1"/>
  <c r="O46" i="27"/>
  <c r="O48" i="27" s="1"/>
  <c r="P7" i="27"/>
  <c r="P12" i="27"/>
  <c r="P28" i="27"/>
  <c r="P29" i="27" s="1"/>
  <c r="P23" i="27"/>
  <c r="P24" i="27" s="1"/>
  <c r="P20" i="27" l="1"/>
  <c r="N9" i="27"/>
  <c r="N51" i="27" s="1"/>
  <c r="O9" i="27"/>
  <c r="O51" i="27" s="1"/>
  <c r="K51" i="27"/>
  <c r="P46" i="27"/>
  <c r="P48" i="27" s="1"/>
  <c r="P32" i="27"/>
  <c r="P43" i="27" s="1"/>
  <c r="P9" i="27" l="1"/>
  <c r="P51" i="27" s="1"/>
  <c r="S47" i="24"/>
  <c r="N47" i="24"/>
  <c r="O47" i="24" s="1"/>
  <c r="N46" i="24"/>
  <c r="N33" i="24"/>
  <c r="N34" i="24"/>
  <c r="N35" i="24"/>
  <c r="N36" i="24"/>
  <c r="N37" i="24"/>
  <c r="N38" i="24"/>
  <c r="N39" i="24"/>
  <c r="N40" i="24"/>
  <c r="N41" i="24"/>
  <c r="N42" i="24"/>
  <c r="N32" i="24"/>
  <c r="N28" i="24"/>
  <c r="N27" i="24"/>
  <c r="N23" i="24"/>
  <c r="K13" i="24"/>
  <c r="K14" i="24"/>
  <c r="K15" i="24"/>
  <c r="K16" i="24"/>
  <c r="K17" i="24"/>
  <c r="K18" i="24"/>
  <c r="K19" i="24"/>
  <c r="N13" i="24"/>
  <c r="N14" i="24"/>
  <c r="N15" i="24"/>
  <c r="N16" i="24"/>
  <c r="N17" i="24"/>
  <c r="N18" i="24"/>
  <c r="N19" i="24"/>
  <c r="N12" i="24"/>
  <c r="N7" i="24"/>
  <c r="N9" i="24"/>
  <c r="I48" i="24"/>
  <c r="J48" i="24"/>
  <c r="L48" i="24"/>
  <c r="M48" i="24"/>
  <c r="Q48" i="24"/>
  <c r="R48" i="24"/>
  <c r="G48" i="24"/>
  <c r="E48" i="24"/>
  <c r="H47" i="24"/>
  <c r="P47" i="24" l="1"/>
  <c r="N48" i="24"/>
  <c r="S46" i="24" l="1"/>
  <c r="S48" i="24" s="1"/>
  <c r="K46" i="24"/>
  <c r="K48" i="24" s="1"/>
  <c r="H46" i="24"/>
  <c r="H48" i="24" s="1"/>
  <c r="R43" i="24"/>
  <c r="Q43" i="24"/>
  <c r="M43" i="24"/>
  <c r="L43" i="24"/>
  <c r="J43" i="24"/>
  <c r="I43" i="24"/>
  <c r="G43" i="24"/>
  <c r="E43" i="24"/>
  <c r="S42" i="24"/>
  <c r="K42" i="24"/>
  <c r="H42" i="24"/>
  <c r="S41" i="24"/>
  <c r="K41" i="24"/>
  <c r="O41" i="24" s="1"/>
  <c r="H41" i="24"/>
  <c r="S40" i="24"/>
  <c r="K40" i="24"/>
  <c r="H40" i="24"/>
  <c r="S39" i="24"/>
  <c r="K39" i="24"/>
  <c r="H39" i="24"/>
  <c r="S38" i="24"/>
  <c r="K38" i="24"/>
  <c r="H38" i="24"/>
  <c r="S37" i="24"/>
  <c r="K37" i="24"/>
  <c r="H37" i="24"/>
  <c r="S36" i="24"/>
  <c r="K36" i="24"/>
  <c r="H36" i="24"/>
  <c r="S35" i="24"/>
  <c r="K35" i="24"/>
  <c r="H35" i="24"/>
  <c r="S34" i="24"/>
  <c r="K34" i="24"/>
  <c r="H34" i="24"/>
  <c r="S33" i="24"/>
  <c r="K33" i="24"/>
  <c r="H33" i="24"/>
  <c r="S32" i="24"/>
  <c r="K32" i="24"/>
  <c r="H32" i="24"/>
  <c r="R29" i="24"/>
  <c r="Q29" i="24"/>
  <c r="M29" i="24"/>
  <c r="L29" i="24"/>
  <c r="J29" i="24"/>
  <c r="I29" i="24"/>
  <c r="G29" i="24"/>
  <c r="E29" i="24"/>
  <c r="S28" i="24"/>
  <c r="K28" i="24"/>
  <c r="O28" i="24" s="1"/>
  <c r="H28" i="24"/>
  <c r="S27" i="24"/>
  <c r="K27" i="24"/>
  <c r="H27" i="24"/>
  <c r="R24" i="24"/>
  <c r="Q24" i="24"/>
  <c r="M24" i="24"/>
  <c r="L24" i="24"/>
  <c r="J24" i="24"/>
  <c r="I24" i="24"/>
  <c r="G24" i="24"/>
  <c r="E24" i="24"/>
  <c r="S23" i="24"/>
  <c r="S24" i="24" s="1"/>
  <c r="K23" i="24"/>
  <c r="K24" i="24" s="1"/>
  <c r="H23" i="24"/>
  <c r="H24" i="24" s="1"/>
  <c r="R20" i="24"/>
  <c r="Q20" i="24"/>
  <c r="M20" i="24"/>
  <c r="M51" i="24" s="1"/>
  <c r="L20" i="24"/>
  <c r="J20" i="24"/>
  <c r="I20" i="24"/>
  <c r="G20" i="24"/>
  <c r="G51" i="24" s="1"/>
  <c r="E20" i="24"/>
  <c r="S19" i="24"/>
  <c r="H19" i="24"/>
  <c r="S18" i="24"/>
  <c r="H18" i="24"/>
  <c r="S17" i="24"/>
  <c r="H17" i="24"/>
  <c r="S16" i="24"/>
  <c r="H16" i="24"/>
  <c r="S15" i="24"/>
  <c r="H15" i="24"/>
  <c r="S14" i="24"/>
  <c r="O14" i="24"/>
  <c r="H14" i="24"/>
  <c r="S13" i="24"/>
  <c r="H13" i="24"/>
  <c r="S12" i="24"/>
  <c r="K12" i="24"/>
  <c r="H12" i="24"/>
  <c r="S7" i="24"/>
  <c r="K7" i="24"/>
  <c r="H7" i="24"/>
  <c r="S6" i="24"/>
  <c r="K6" i="24"/>
  <c r="K9" i="24" s="1"/>
  <c r="H6" i="24"/>
  <c r="J51" i="24" l="1"/>
  <c r="R51" i="24"/>
  <c r="S9" i="24"/>
  <c r="I51" i="24"/>
  <c r="Q51" i="24"/>
  <c r="K43" i="24"/>
  <c r="E51" i="24"/>
  <c r="L51" i="24"/>
  <c r="H9" i="24"/>
  <c r="K29" i="24"/>
  <c r="H43" i="24"/>
  <c r="S29" i="24"/>
  <c r="S43" i="24"/>
  <c r="O17" i="24"/>
  <c r="P17" i="24" s="1"/>
  <c r="O18" i="24"/>
  <c r="O6" i="24"/>
  <c r="O16" i="24"/>
  <c r="P16" i="24" s="1"/>
  <c r="H20" i="24"/>
  <c r="O33" i="24"/>
  <c r="P33" i="24" s="1"/>
  <c r="O35" i="24"/>
  <c r="P35" i="24" s="1"/>
  <c r="O37" i="24"/>
  <c r="O39" i="24"/>
  <c r="P39" i="24" s="1"/>
  <c r="O7" i="24"/>
  <c r="P7" i="24" s="1"/>
  <c r="K20" i="24"/>
  <c r="K51" i="24" s="1"/>
  <c r="O13" i="24"/>
  <c r="P13" i="24" s="1"/>
  <c r="O15" i="24"/>
  <c r="P15" i="24" s="1"/>
  <c r="P18" i="24"/>
  <c r="O23" i="24"/>
  <c r="O24" i="24" s="1"/>
  <c r="P41" i="24"/>
  <c r="N20" i="24"/>
  <c r="P14" i="24"/>
  <c r="O34" i="24"/>
  <c r="P34" i="24" s="1"/>
  <c r="O36" i="24"/>
  <c r="P36" i="24" s="1"/>
  <c r="O38" i="24"/>
  <c r="P38" i="24" s="1"/>
  <c r="O40" i="24"/>
  <c r="P40" i="24" s="1"/>
  <c r="S20" i="24"/>
  <c r="O19" i="24"/>
  <c r="P19" i="24" s="1"/>
  <c r="O27" i="24"/>
  <c r="O29" i="24" s="1"/>
  <c r="N43" i="24"/>
  <c r="O42" i="24"/>
  <c r="P42" i="24" s="1"/>
  <c r="P28" i="24"/>
  <c r="P37" i="24"/>
  <c r="H29" i="24"/>
  <c r="N29" i="24"/>
  <c r="O32" i="24"/>
  <c r="P32" i="24" s="1"/>
  <c r="O46" i="24"/>
  <c r="O48" i="24" s="1"/>
  <c r="N24" i="24"/>
  <c r="O12" i="24"/>
  <c r="P27" i="24" l="1"/>
  <c r="H51" i="24"/>
  <c r="N51" i="24"/>
  <c r="S51" i="24"/>
  <c r="P6" i="24"/>
  <c r="P9" i="24" s="1"/>
  <c r="O9" i="24"/>
  <c r="O20" i="24"/>
  <c r="P29" i="24"/>
  <c r="P43" i="24"/>
  <c r="P23" i="24"/>
  <c r="P24" i="24" s="1"/>
  <c r="P12" i="24"/>
  <c r="P20" i="24" s="1"/>
  <c r="O43" i="24"/>
  <c r="P46" i="24"/>
  <c r="P48" i="24" s="1"/>
  <c r="R47" i="22"/>
  <c r="Q47" i="22"/>
  <c r="M47" i="22"/>
  <c r="L47" i="22"/>
  <c r="J47" i="22"/>
  <c r="I47" i="22"/>
  <c r="G47" i="22"/>
  <c r="E47" i="22"/>
  <c r="S46" i="22"/>
  <c r="S47" i="22" s="1"/>
  <c r="N46" i="22"/>
  <c r="N47" i="22" s="1"/>
  <c r="K46" i="22"/>
  <c r="K47" i="22" s="1"/>
  <c r="H46" i="22"/>
  <c r="H47" i="22" s="1"/>
  <c r="R43" i="22"/>
  <c r="Q43" i="22"/>
  <c r="M43" i="22"/>
  <c r="L43" i="22"/>
  <c r="J43" i="22"/>
  <c r="I43" i="22"/>
  <c r="G43" i="22"/>
  <c r="E43" i="22"/>
  <c r="S42" i="22"/>
  <c r="N42" i="22"/>
  <c r="K42" i="22"/>
  <c r="O42" i="22" s="1"/>
  <c r="H42" i="22"/>
  <c r="S41" i="22"/>
  <c r="N41" i="22"/>
  <c r="K41" i="22"/>
  <c r="H41" i="22"/>
  <c r="S40" i="22"/>
  <c r="N40" i="22"/>
  <c r="K40" i="22"/>
  <c r="O40" i="22" s="1"/>
  <c r="H40" i="22"/>
  <c r="S39" i="22"/>
  <c r="N39" i="22"/>
  <c r="K39" i="22"/>
  <c r="H39" i="22"/>
  <c r="S38" i="22"/>
  <c r="N38" i="22"/>
  <c r="K38" i="22"/>
  <c r="H38" i="22"/>
  <c r="S37" i="22"/>
  <c r="N37" i="22"/>
  <c r="K37" i="22"/>
  <c r="H37" i="22"/>
  <c r="S36" i="22"/>
  <c r="N36" i="22"/>
  <c r="K36" i="22"/>
  <c r="H36" i="22"/>
  <c r="S35" i="22"/>
  <c r="N35" i="22"/>
  <c r="K35" i="22"/>
  <c r="H35" i="22"/>
  <c r="S34" i="22"/>
  <c r="N34" i="22"/>
  <c r="K34" i="22"/>
  <c r="H34" i="22"/>
  <c r="S33" i="22"/>
  <c r="N33" i="22"/>
  <c r="K33" i="22"/>
  <c r="H33" i="22"/>
  <c r="S32" i="22"/>
  <c r="N32" i="22"/>
  <c r="K32" i="22"/>
  <c r="H32" i="22"/>
  <c r="H43" i="22" s="1"/>
  <c r="R29" i="22"/>
  <c r="Q29" i="22"/>
  <c r="M29" i="22"/>
  <c r="L29" i="22"/>
  <c r="J29" i="22"/>
  <c r="I29" i="22"/>
  <c r="G29" i="22"/>
  <c r="E29" i="22"/>
  <c r="S28" i="22"/>
  <c r="N28" i="22"/>
  <c r="K28" i="22"/>
  <c r="H28" i="22"/>
  <c r="S27" i="22"/>
  <c r="S29" i="22" s="1"/>
  <c r="N27" i="22"/>
  <c r="K27" i="22"/>
  <c r="H27" i="22"/>
  <c r="H29" i="22" s="1"/>
  <c r="R24" i="22"/>
  <c r="Q24" i="22"/>
  <c r="M24" i="22"/>
  <c r="L24" i="22"/>
  <c r="J24" i="22"/>
  <c r="I24" i="22"/>
  <c r="G24" i="22"/>
  <c r="E24" i="22"/>
  <c r="S23" i="22"/>
  <c r="S24" i="22" s="1"/>
  <c r="N23" i="22"/>
  <c r="K23" i="22"/>
  <c r="H23" i="22"/>
  <c r="H24" i="22" s="1"/>
  <c r="N22" i="22"/>
  <c r="K22" i="22"/>
  <c r="R19" i="22"/>
  <c r="Q19" i="22"/>
  <c r="M19" i="22"/>
  <c r="L19" i="22"/>
  <c r="J19" i="22"/>
  <c r="I19" i="22"/>
  <c r="G19" i="22"/>
  <c r="E19" i="22"/>
  <c r="S18" i="22"/>
  <c r="N18" i="22"/>
  <c r="K18" i="22"/>
  <c r="O18" i="22" s="1"/>
  <c r="H18" i="22"/>
  <c r="S17" i="22"/>
  <c r="N17" i="22"/>
  <c r="K17" i="22"/>
  <c r="O17" i="22" s="1"/>
  <c r="H17" i="22"/>
  <c r="S16" i="22"/>
  <c r="N16" i="22"/>
  <c r="K16" i="22"/>
  <c r="O16" i="22" s="1"/>
  <c r="H16" i="22"/>
  <c r="S15" i="22"/>
  <c r="N15" i="22"/>
  <c r="K15" i="22"/>
  <c r="H15" i="22"/>
  <c r="S14" i="22"/>
  <c r="N14" i="22"/>
  <c r="K14" i="22"/>
  <c r="O14" i="22" s="1"/>
  <c r="H14" i="22"/>
  <c r="S13" i="22"/>
  <c r="N13" i="22"/>
  <c r="H13" i="22"/>
  <c r="S12" i="22"/>
  <c r="N12" i="22"/>
  <c r="K12" i="22"/>
  <c r="H12" i="22"/>
  <c r="S11" i="22"/>
  <c r="N11" i="22"/>
  <c r="K11" i="22"/>
  <c r="H11" i="22"/>
  <c r="R8" i="22"/>
  <c r="Q8" i="22"/>
  <c r="M8" i="22"/>
  <c r="L8" i="22"/>
  <c r="J8" i="22"/>
  <c r="I8" i="22"/>
  <c r="G8" i="22"/>
  <c r="E8" i="22"/>
  <c r="S7" i="22"/>
  <c r="N7" i="22"/>
  <c r="K7" i="22"/>
  <c r="H7" i="22"/>
  <c r="S6" i="22"/>
  <c r="N6" i="22"/>
  <c r="K6" i="22"/>
  <c r="H6" i="22"/>
  <c r="S5" i="22"/>
  <c r="N5" i="22"/>
  <c r="N8" i="22" s="1"/>
  <c r="K5" i="22"/>
  <c r="H5" i="22"/>
  <c r="H8" i="22" s="1"/>
  <c r="J50" i="22" l="1"/>
  <c r="R50" i="22"/>
  <c r="K24" i="22"/>
  <c r="O32" i="22"/>
  <c r="O34" i="22"/>
  <c r="O6" i="22"/>
  <c r="O7" i="22"/>
  <c r="G50" i="22"/>
  <c r="M50" i="22"/>
  <c r="O11" i="22"/>
  <c r="P34" i="22"/>
  <c r="S19" i="22"/>
  <c r="O41" i="22"/>
  <c r="O36" i="22"/>
  <c r="P36" i="22" s="1"/>
  <c r="O38" i="22"/>
  <c r="P38" i="22" s="1"/>
  <c r="O12" i="22"/>
  <c r="O5" i="22"/>
  <c r="L50" i="22"/>
  <c r="P12" i="22"/>
  <c r="P14" i="22"/>
  <c r="N24" i="22"/>
  <c r="S43" i="22"/>
  <c r="P51" i="24"/>
  <c r="P16" i="22"/>
  <c r="P40" i="22"/>
  <c r="S8" i="22"/>
  <c r="I50" i="22"/>
  <c r="Q50" i="22"/>
  <c r="O15" i="22"/>
  <c r="P15" i="22" s="1"/>
  <c r="P17" i="22"/>
  <c r="P18" i="22"/>
  <c r="O23" i="22"/>
  <c r="O27" i="22"/>
  <c r="K43" i="22"/>
  <c r="O33" i="22"/>
  <c r="P33" i="22" s="1"/>
  <c r="O35" i="22"/>
  <c r="O37" i="22"/>
  <c r="P37" i="22" s="1"/>
  <c r="O39" i="22"/>
  <c r="P39" i="22" s="1"/>
  <c r="P41" i="22"/>
  <c r="P42" i="22"/>
  <c r="O46" i="22"/>
  <c r="O47" i="22" s="1"/>
  <c r="P6" i="22"/>
  <c r="N29" i="22"/>
  <c r="O51" i="24"/>
  <c r="E50" i="22"/>
  <c r="N19" i="22"/>
  <c r="O13" i="22"/>
  <c r="P13" i="22" s="1"/>
  <c r="O8" i="22"/>
  <c r="P7" i="22"/>
  <c r="P11" i="22"/>
  <c r="N43" i="22"/>
  <c r="H19" i="22"/>
  <c r="H50" i="22" s="1"/>
  <c r="O28" i="22"/>
  <c r="P28" i="22" s="1"/>
  <c r="K29" i="22"/>
  <c r="K19" i="22"/>
  <c r="P23" i="22"/>
  <c r="P24" i="22" s="1"/>
  <c r="P27" i="22"/>
  <c r="P29" i="22" s="1"/>
  <c r="K8" i="22"/>
  <c r="P32" i="22"/>
  <c r="P46" i="22"/>
  <c r="P47" i="22" s="1"/>
  <c r="P5" i="22"/>
  <c r="O22" i="22"/>
  <c r="O24" i="22" s="1"/>
  <c r="P8" i="22" l="1"/>
  <c r="O43" i="22"/>
  <c r="N50" i="22"/>
  <c r="P35" i="22"/>
  <c r="P43" i="22" s="1"/>
  <c r="K50" i="22"/>
  <c r="S50" i="22"/>
  <c r="O19" i="22"/>
  <c r="P19" i="22"/>
  <c r="O29" i="22"/>
  <c r="P50" i="22" l="1"/>
  <c r="O50" i="22"/>
  <c r="R47" i="18"/>
  <c r="Q47" i="18"/>
  <c r="M47" i="18"/>
  <c r="L47" i="18"/>
  <c r="J47" i="18"/>
  <c r="I47" i="18"/>
  <c r="G47" i="18"/>
  <c r="E47" i="18"/>
  <c r="S46" i="18"/>
  <c r="S47" i="18" s="1"/>
  <c r="N46" i="18"/>
  <c r="N47" i="18" s="1"/>
  <c r="K46" i="18"/>
  <c r="K47" i="18" s="1"/>
  <c r="H46" i="18"/>
  <c r="H47" i="18" s="1"/>
  <c r="R43" i="18"/>
  <c r="Q43" i="18"/>
  <c r="M43" i="18"/>
  <c r="L43" i="18"/>
  <c r="J43" i="18"/>
  <c r="I43" i="18"/>
  <c r="G43" i="18"/>
  <c r="E43" i="18"/>
  <c r="S42" i="18"/>
  <c r="N42" i="18"/>
  <c r="K42" i="18"/>
  <c r="H42" i="18"/>
  <c r="S41" i="18"/>
  <c r="N41" i="18"/>
  <c r="K41" i="18"/>
  <c r="H41" i="18"/>
  <c r="S40" i="18"/>
  <c r="N40" i="18"/>
  <c r="K40" i="18"/>
  <c r="H40" i="18"/>
  <c r="S39" i="18"/>
  <c r="N39" i="18"/>
  <c r="K39" i="18"/>
  <c r="H39" i="18"/>
  <c r="S38" i="18"/>
  <c r="N38" i="18"/>
  <c r="K38" i="18"/>
  <c r="H38" i="18"/>
  <c r="S37" i="18"/>
  <c r="N37" i="18"/>
  <c r="K37" i="18"/>
  <c r="H37" i="18"/>
  <c r="S36" i="18"/>
  <c r="N36" i="18"/>
  <c r="K36" i="18"/>
  <c r="H36" i="18"/>
  <c r="S35" i="18"/>
  <c r="N35" i="18"/>
  <c r="K35" i="18"/>
  <c r="H35" i="18"/>
  <c r="S34" i="18"/>
  <c r="N34" i="18"/>
  <c r="K34" i="18"/>
  <c r="H34" i="18"/>
  <c r="S33" i="18"/>
  <c r="N33" i="18"/>
  <c r="K33" i="18"/>
  <c r="H33" i="18"/>
  <c r="S32" i="18"/>
  <c r="N32" i="18"/>
  <c r="K32" i="18"/>
  <c r="H32" i="18"/>
  <c r="H43" i="18" s="1"/>
  <c r="R29" i="18"/>
  <c r="Q29" i="18"/>
  <c r="M29" i="18"/>
  <c r="L29" i="18"/>
  <c r="J29" i="18"/>
  <c r="I29" i="18"/>
  <c r="G29" i="18"/>
  <c r="E29" i="18"/>
  <c r="S28" i="18"/>
  <c r="N28" i="18"/>
  <c r="K28" i="18"/>
  <c r="H28" i="18"/>
  <c r="S27" i="18"/>
  <c r="S29" i="18" s="1"/>
  <c r="N27" i="18"/>
  <c r="K27" i="18"/>
  <c r="K29" i="18" s="1"/>
  <c r="H27" i="18"/>
  <c r="R24" i="18"/>
  <c r="Q24" i="18"/>
  <c r="M24" i="18"/>
  <c r="L24" i="18"/>
  <c r="J24" i="18"/>
  <c r="I24" i="18"/>
  <c r="G24" i="18"/>
  <c r="E24" i="18"/>
  <c r="S23" i="18"/>
  <c r="S24" i="18" s="1"/>
  <c r="N23" i="18"/>
  <c r="K23" i="18"/>
  <c r="H23" i="18"/>
  <c r="N22" i="18"/>
  <c r="K22" i="18"/>
  <c r="R19" i="18"/>
  <c r="Q19" i="18"/>
  <c r="M19" i="18"/>
  <c r="L19" i="18"/>
  <c r="J19" i="18"/>
  <c r="I19" i="18"/>
  <c r="G19" i="18"/>
  <c r="E19" i="18"/>
  <c r="S18" i="18"/>
  <c r="N18" i="18"/>
  <c r="K18" i="18"/>
  <c r="H18" i="18"/>
  <c r="S17" i="18"/>
  <c r="N17" i="18"/>
  <c r="K17" i="18"/>
  <c r="H17" i="18"/>
  <c r="S16" i="18"/>
  <c r="K16" i="18"/>
  <c r="H16" i="18"/>
  <c r="S15" i="18"/>
  <c r="N15" i="18"/>
  <c r="K15" i="18"/>
  <c r="H15" i="18"/>
  <c r="S14" i="18"/>
  <c r="N14" i="18"/>
  <c r="K14" i="18"/>
  <c r="H14" i="18"/>
  <c r="S13" i="18"/>
  <c r="K13" i="18"/>
  <c r="O13" i="18" s="1"/>
  <c r="H13" i="18"/>
  <c r="S12" i="18"/>
  <c r="K12" i="18"/>
  <c r="O12" i="18" s="1"/>
  <c r="H12" i="18"/>
  <c r="S11" i="18"/>
  <c r="K11" i="18"/>
  <c r="O11" i="18" s="1"/>
  <c r="H11" i="18"/>
  <c r="R8" i="18"/>
  <c r="R50" i="18" s="1"/>
  <c r="Q8" i="18"/>
  <c r="M8" i="18"/>
  <c r="M50" i="18" s="1"/>
  <c r="L8" i="18"/>
  <c r="J8" i="18"/>
  <c r="I8" i="18"/>
  <c r="G8" i="18"/>
  <c r="G50" i="18" s="1"/>
  <c r="E8" i="18"/>
  <c r="S7" i="18"/>
  <c r="K7" i="18"/>
  <c r="O7" i="18" s="1"/>
  <c r="H7" i="18"/>
  <c r="S6" i="18"/>
  <c r="K6" i="18"/>
  <c r="O6" i="18" s="1"/>
  <c r="H6" i="18"/>
  <c r="S5" i="18"/>
  <c r="N8" i="18"/>
  <c r="K5" i="18"/>
  <c r="H5" i="18"/>
  <c r="S19" i="18" l="1"/>
  <c r="O35" i="18"/>
  <c r="O37" i="18"/>
  <c r="O38" i="18"/>
  <c r="O39" i="18"/>
  <c r="P39" i="18" s="1"/>
  <c r="O41" i="18"/>
  <c r="O42" i="18"/>
  <c r="H8" i="18"/>
  <c r="K24" i="18"/>
  <c r="O23" i="18"/>
  <c r="O14" i="18"/>
  <c r="L50" i="18"/>
  <c r="O33" i="18"/>
  <c r="P33" i="18" s="1"/>
  <c r="N29" i="18"/>
  <c r="I50" i="18"/>
  <c r="Q50" i="18"/>
  <c r="O15" i="18"/>
  <c r="P15" i="18" s="1"/>
  <c r="O16" i="18"/>
  <c r="O18" i="18"/>
  <c r="N24" i="18"/>
  <c r="J50" i="18"/>
  <c r="P23" i="18"/>
  <c r="P24" i="18" s="1"/>
  <c r="P41" i="18"/>
  <c r="K8" i="18"/>
  <c r="P7" i="18"/>
  <c r="E50" i="18"/>
  <c r="P12" i="18"/>
  <c r="O17" i="18"/>
  <c r="P17" i="18" s="1"/>
  <c r="O28" i="18"/>
  <c r="P35" i="18"/>
  <c r="O40" i="18"/>
  <c r="P40" i="18" s="1"/>
  <c r="P42" i="18"/>
  <c r="P6" i="18"/>
  <c r="P18" i="18"/>
  <c r="P14" i="18"/>
  <c r="O27" i="18"/>
  <c r="N43" i="18"/>
  <c r="P37" i="18"/>
  <c r="S8" i="18"/>
  <c r="N19" i="18"/>
  <c r="P16" i="18"/>
  <c r="O22" i="18"/>
  <c r="H29" i="18"/>
  <c r="S43" i="18"/>
  <c r="O36" i="18"/>
  <c r="P36" i="18" s="1"/>
  <c r="K43" i="18"/>
  <c r="O34" i="18"/>
  <c r="P34" i="18" s="1"/>
  <c r="K19" i="18"/>
  <c r="P13" i="18"/>
  <c r="P38" i="18"/>
  <c r="P28" i="18"/>
  <c r="H24" i="18"/>
  <c r="H19" i="18"/>
  <c r="H50" i="18" s="1"/>
  <c r="O32" i="18"/>
  <c r="O46" i="18"/>
  <c r="O47" i="18" s="1"/>
  <c r="O5" i="18"/>
  <c r="O8" i="18" s="1"/>
  <c r="O24" i="18" l="1"/>
  <c r="N50" i="18"/>
  <c r="O29" i="18"/>
  <c r="P27" i="18"/>
  <c r="P29" i="18" s="1"/>
  <c r="P5" i="18"/>
  <c r="P8" i="18" s="1"/>
  <c r="S50" i="18"/>
  <c r="K50" i="18"/>
  <c r="P46" i="18"/>
  <c r="P47" i="18" s="1"/>
  <c r="O43" i="18"/>
  <c r="O19" i="18"/>
  <c r="P32" i="18"/>
  <c r="P43" i="18" s="1"/>
  <c r="P11" i="18"/>
  <c r="P19" i="18" s="1"/>
  <c r="O50" i="18" l="1"/>
  <c r="P50" i="18"/>
  <c r="Q47" i="16"/>
  <c r="P47" i="16"/>
  <c r="L47" i="16"/>
  <c r="K47" i="16"/>
  <c r="I47" i="16"/>
  <c r="H47" i="16"/>
  <c r="F47" i="16"/>
  <c r="E47" i="16"/>
  <c r="R46" i="16"/>
  <c r="R47" i="16" s="1"/>
  <c r="M46" i="16"/>
  <c r="M47" i="16" s="1"/>
  <c r="J46" i="16"/>
  <c r="J47" i="16" s="1"/>
  <c r="G46" i="16"/>
  <c r="G47" i="16" s="1"/>
  <c r="Q43" i="16"/>
  <c r="P43" i="16"/>
  <c r="L43" i="16"/>
  <c r="K43" i="16"/>
  <c r="I43" i="16"/>
  <c r="H43" i="16"/>
  <c r="F43" i="16"/>
  <c r="E43" i="16"/>
  <c r="R42" i="16"/>
  <c r="M42" i="16"/>
  <c r="J42" i="16"/>
  <c r="G42" i="16"/>
  <c r="R41" i="16"/>
  <c r="M41" i="16"/>
  <c r="J41" i="16"/>
  <c r="G41" i="16"/>
  <c r="R40" i="16"/>
  <c r="M40" i="16"/>
  <c r="J40" i="16"/>
  <c r="G40" i="16"/>
  <c r="R39" i="16"/>
  <c r="M39" i="16"/>
  <c r="J39" i="16"/>
  <c r="G39" i="16"/>
  <c r="R38" i="16"/>
  <c r="M38" i="16"/>
  <c r="J38" i="16"/>
  <c r="G38" i="16"/>
  <c r="R37" i="16"/>
  <c r="M37" i="16"/>
  <c r="J37" i="16"/>
  <c r="G37" i="16"/>
  <c r="R36" i="16"/>
  <c r="M36" i="16"/>
  <c r="J36" i="16"/>
  <c r="G36" i="16"/>
  <c r="R35" i="16"/>
  <c r="M35" i="16"/>
  <c r="J35" i="16"/>
  <c r="G35" i="16"/>
  <c r="R34" i="16"/>
  <c r="M34" i="16"/>
  <c r="J34" i="16"/>
  <c r="G34" i="16"/>
  <c r="R33" i="16"/>
  <c r="M33" i="16"/>
  <c r="J33" i="16"/>
  <c r="G33" i="16"/>
  <c r="R32" i="16"/>
  <c r="M32" i="16"/>
  <c r="J32" i="16"/>
  <c r="G32" i="16"/>
  <c r="Q29" i="16"/>
  <c r="P29" i="16"/>
  <c r="L29" i="16"/>
  <c r="K29" i="16"/>
  <c r="I29" i="16"/>
  <c r="H29" i="16"/>
  <c r="F29" i="16"/>
  <c r="E29" i="16"/>
  <c r="R28" i="16"/>
  <c r="M28" i="16"/>
  <c r="J28" i="16"/>
  <c r="G28" i="16"/>
  <c r="R27" i="16"/>
  <c r="R29" i="16" s="1"/>
  <c r="M27" i="16"/>
  <c r="J27" i="16"/>
  <c r="J29" i="16" s="1"/>
  <c r="G27" i="16"/>
  <c r="Q24" i="16"/>
  <c r="P24" i="16"/>
  <c r="L24" i="16"/>
  <c r="K24" i="16"/>
  <c r="I24" i="16"/>
  <c r="H24" i="16"/>
  <c r="F24" i="16"/>
  <c r="E24" i="16"/>
  <c r="R23" i="16"/>
  <c r="R24" i="16" s="1"/>
  <c r="M23" i="16"/>
  <c r="J23" i="16"/>
  <c r="G23" i="16"/>
  <c r="M22" i="16"/>
  <c r="J22" i="16"/>
  <c r="Q19" i="16"/>
  <c r="P19" i="16"/>
  <c r="L19" i="16"/>
  <c r="K19" i="16"/>
  <c r="I19" i="16"/>
  <c r="H19" i="16"/>
  <c r="F19" i="16"/>
  <c r="E19" i="16"/>
  <c r="R18" i="16"/>
  <c r="M18" i="16"/>
  <c r="J18" i="16"/>
  <c r="N18" i="16" s="1"/>
  <c r="G18" i="16"/>
  <c r="R17" i="16"/>
  <c r="M17" i="16"/>
  <c r="J17" i="16"/>
  <c r="N17" i="16" s="1"/>
  <c r="G17" i="16"/>
  <c r="R16" i="16"/>
  <c r="M16" i="16"/>
  <c r="J16" i="16"/>
  <c r="N16" i="16" s="1"/>
  <c r="G16" i="16"/>
  <c r="R15" i="16"/>
  <c r="M15" i="16"/>
  <c r="J15" i="16"/>
  <c r="N15" i="16" s="1"/>
  <c r="G15" i="16"/>
  <c r="R14" i="16"/>
  <c r="M14" i="16"/>
  <c r="J14" i="16"/>
  <c r="G14" i="16"/>
  <c r="R13" i="16"/>
  <c r="M13" i="16"/>
  <c r="J13" i="16"/>
  <c r="G13" i="16"/>
  <c r="R12" i="16"/>
  <c r="M12" i="16"/>
  <c r="J12" i="16"/>
  <c r="N12" i="16" s="1"/>
  <c r="G12" i="16"/>
  <c r="R11" i="16"/>
  <c r="M11" i="16"/>
  <c r="J11" i="16"/>
  <c r="G11" i="16"/>
  <c r="Q8" i="16"/>
  <c r="P8" i="16"/>
  <c r="L8" i="16"/>
  <c r="L50" i="16" s="1"/>
  <c r="K8" i="16"/>
  <c r="K50" i="16" s="1"/>
  <c r="I8" i="16"/>
  <c r="H8" i="16"/>
  <c r="F8" i="16"/>
  <c r="F50" i="16" s="1"/>
  <c r="E8" i="16"/>
  <c r="R7" i="16"/>
  <c r="M7" i="16"/>
  <c r="J7" i="16"/>
  <c r="N7" i="16" s="1"/>
  <c r="G7" i="16"/>
  <c r="R6" i="16"/>
  <c r="M6" i="16"/>
  <c r="J6" i="16"/>
  <c r="N6" i="16" s="1"/>
  <c r="G6" i="16"/>
  <c r="R5" i="16"/>
  <c r="M5" i="16"/>
  <c r="M8" i="16" s="1"/>
  <c r="J5" i="16"/>
  <c r="J8" i="16" s="1"/>
  <c r="G5" i="16"/>
  <c r="G8" i="16" s="1"/>
  <c r="H50" i="16" l="1"/>
  <c r="P50" i="16"/>
  <c r="I50" i="16"/>
  <c r="Q50" i="16"/>
  <c r="N23" i="16"/>
  <c r="N28" i="16"/>
  <c r="N33" i="16"/>
  <c r="O33" i="16" s="1"/>
  <c r="N35" i="16"/>
  <c r="N38" i="16"/>
  <c r="N39" i="16"/>
  <c r="O39" i="16" s="1"/>
  <c r="N40" i="16"/>
  <c r="N41" i="16"/>
  <c r="O41" i="16" s="1"/>
  <c r="N42" i="16"/>
  <c r="O7" i="16"/>
  <c r="N22" i="16"/>
  <c r="N24" i="16" s="1"/>
  <c r="O42" i="16"/>
  <c r="M24" i="16"/>
  <c r="N37" i="16"/>
  <c r="R19" i="16"/>
  <c r="N14" i="16"/>
  <c r="O14" i="16" s="1"/>
  <c r="O6" i="16"/>
  <c r="E50" i="16"/>
  <c r="O35" i="16"/>
  <c r="N27" i="16"/>
  <c r="M29" i="16"/>
  <c r="O37" i="16"/>
  <c r="O18" i="16"/>
  <c r="O23" i="16"/>
  <c r="O24" i="16" s="1"/>
  <c r="O12" i="16"/>
  <c r="J24" i="16"/>
  <c r="R8" i="16"/>
  <c r="M19" i="16"/>
  <c r="N13" i="16"/>
  <c r="O13" i="16" s="1"/>
  <c r="O16" i="16"/>
  <c r="G29" i="16"/>
  <c r="R43" i="16"/>
  <c r="N36" i="16"/>
  <c r="O36" i="16" s="1"/>
  <c r="J43" i="16"/>
  <c r="G43" i="16"/>
  <c r="M43" i="16"/>
  <c r="N34" i="16"/>
  <c r="O34" i="16" s="1"/>
  <c r="J19" i="16"/>
  <c r="J50" i="16" s="1"/>
  <c r="O15" i="16"/>
  <c r="O38" i="16"/>
  <c r="O17" i="16"/>
  <c r="O28" i="16"/>
  <c r="O40" i="16"/>
  <c r="G24" i="16"/>
  <c r="G19" i="16"/>
  <c r="N32" i="16"/>
  <c r="N46" i="16"/>
  <c r="N47" i="16" s="1"/>
  <c r="N5" i="16"/>
  <c r="N8" i="16" s="1"/>
  <c r="N11" i="16"/>
  <c r="N29" i="16" l="1"/>
  <c r="M50" i="16"/>
  <c r="R50" i="16"/>
  <c r="G50" i="16"/>
  <c r="O27" i="16"/>
  <c r="O29" i="16" s="1"/>
  <c r="N19" i="16"/>
  <c r="O46" i="16"/>
  <c r="O47" i="16" s="1"/>
  <c r="N43" i="16"/>
  <c r="O5" i="16"/>
  <c r="O8" i="16" s="1"/>
  <c r="O32" i="16"/>
  <c r="O43" i="16" s="1"/>
  <c r="O11" i="16"/>
  <c r="O19" i="16" s="1"/>
  <c r="N50" i="16" l="1"/>
  <c r="O50" i="16"/>
  <c r="R28" i="14"/>
  <c r="J46" i="14" l="1"/>
  <c r="J47" i="14" s="1"/>
  <c r="J33" i="14"/>
  <c r="J34" i="14"/>
  <c r="J35" i="14"/>
  <c r="J36" i="14"/>
  <c r="J37" i="14"/>
  <c r="J38" i="14"/>
  <c r="J39" i="14"/>
  <c r="J40" i="14"/>
  <c r="J41" i="14"/>
  <c r="J42" i="14"/>
  <c r="J32" i="14"/>
  <c r="J28" i="14"/>
  <c r="J27" i="14"/>
  <c r="J23" i="14"/>
  <c r="J22" i="14"/>
  <c r="J6" i="14"/>
  <c r="J7" i="14"/>
  <c r="J5" i="14"/>
  <c r="J11" i="14"/>
  <c r="J12" i="14"/>
  <c r="J13" i="14"/>
  <c r="J14" i="14"/>
  <c r="J15" i="14"/>
  <c r="J16" i="14"/>
  <c r="J18" i="14"/>
  <c r="J17" i="14"/>
  <c r="M13" i="14"/>
  <c r="G13" i="14"/>
  <c r="F8" i="14"/>
  <c r="J24" i="14" l="1"/>
  <c r="J43" i="14"/>
  <c r="J29" i="14"/>
  <c r="J8" i="14"/>
  <c r="N13" i="14"/>
  <c r="O13" i="14" s="1"/>
  <c r="J19" i="14"/>
  <c r="Q47" i="14"/>
  <c r="P47" i="14"/>
  <c r="L47" i="14"/>
  <c r="K47" i="14"/>
  <c r="I47" i="14"/>
  <c r="H47" i="14"/>
  <c r="F47" i="14"/>
  <c r="E47" i="14"/>
  <c r="R46" i="14"/>
  <c r="R47" i="14" s="1"/>
  <c r="M46" i="14"/>
  <c r="M47" i="14" s="1"/>
  <c r="G46" i="14"/>
  <c r="G47" i="14" s="1"/>
  <c r="Q43" i="14"/>
  <c r="P43" i="14"/>
  <c r="L43" i="14"/>
  <c r="K43" i="14"/>
  <c r="I43" i="14"/>
  <c r="H43" i="14"/>
  <c r="F43" i="14"/>
  <c r="E43" i="14"/>
  <c r="R42" i="14"/>
  <c r="M42" i="14"/>
  <c r="N42" i="14" s="1"/>
  <c r="G42" i="14"/>
  <c r="R41" i="14"/>
  <c r="M41" i="14"/>
  <c r="N41" i="14" s="1"/>
  <c r="G41" i="14"/>
  <c r="R40" i="14"/>
  <c r="M40" i="14"/>
  <c r="N40" i="14" s="1"/>
  <c r="G40" i="14"/>
  <c r="R39" i="14"/>
  <c r="M39" i="14"/>
  <c r="N39" i="14" s="1"/>
  <c r="G39" i="14"/>
  <c r="R38" i="14"/>
  <c r="M38" i="14"/>
  <c r="N38" i="14" s="1"/>
  <c r="G38" i="14"/>
  <c r="R37" i="14"/>
  <c r="M37" i="14"/>
  <c r="N37" i="14" s="1"/>
  <c r="G37" i="14"/>
  <c r="R36" i="14"/>
  <c r="M36" i="14"/>
  <c r="N36" i="14" s="1"/>
  <c r="G36" i="14"/>
  <c r="R35" i="14"/>
  <c r="M35" i="14"/>
  <c r="N35" i="14" s="1"/>
  <c r="G35" i="14"/>
  <c r="R34" i="14"/>
  <c r="M34" i="14"/>
  <c r="N34" i="14" s="1"/>
  <c r="G34" i="14"/>
  <c r="R33" i="14"/>
  <c r="M33" i="14"/>
  <c r="N33" i="14" s="1"/>
  <c r="G33" i="14"/>
  <c r="R32" i="14"/>
  <c r="M32" i="14"/>
  <c r="N32" i="14" s="1"/>
  <c r="G32" i="14"/>
  <c r="Q29" i="14"/>
  <c r="P29" i="14"/>
  <c r="L29" i="14"/>
  <c r="K29" i="14"/>
  <c r="I29" i="14"/>
  <c r="H29" i="14"/>
  <c r="F29" i="14"/>
  <c r="E29" i="14"/>
  <c r="M28" i="14"/>
  <c r="N28" i="14" s="1"/>
  <c r="G28" i="14"/>
  <c r="R27" i="14"/>
  <c r="R29" i="14" s="1"/>
  <c r="M27" i="14"/>
  <c r="G27" i="14"/>
  <c r="Q24" i="14"/>
  <c r="P24" i="14"/>
  <c r="L24" i="14"/>
  <c r="K24" i="14"/>
  <c r="I24" i="14"/>
  <c r="H24" i="14"/>
  <c r="F24" i="14"/>
  <c r="E24" i="14"/>
  <c r="R23" i="14"/>
  <c r="R24" i="14" s="1"/>
  <c r="M23" i="14"/>
  <c r="N23" i="14" s="1"/>
  <c r="G23" i="14"/>
  <c r="G24" i="14" s="1"/>
  <c r="M22" i="14"/>
  <c r="Q19" i="14"/>
  <c r="P19" i="14"/>
  <c r="L19" i="14"/>
  <c r="K19" i="14"/>
  <c r="I19" i="14"/>
  <c r="H19" i="14"/>
  <c r="E19" i="14"/>
  <c r="R18" i="14"/>
  <c r="M18" i="14"/>
  <c r="N18" i="14" s="1"/>
  <c r="G18" i="14"/>
  <c r="R17" i="14"/>
  <c r="M17" i="14"/>
  <c r="N17" i="14" s="1"/>
  <c r="G17" i="14"/>
  <c r="R16" i="14"/>
  <c r="M16" i="14"/>
  <c r="N16" i="14" s="1"/>
  <c r="G16" i="14"/>
  <c r="R15" i="14"/>
  <c r="M15" i="14"/>
  <c r="N15" i="14" s="1"/>
  <c r="G15" i="14"/>
  <c r="R14" i="14"/>
  <c r="M14" i="14"/>
  <c r="N14" i="14" s="1"/>
  <c r="G14" i="14"/>
  <c r="R13" i="14"/>
  <c r="F19" i="14"/>
  <c r="R12" i="14"/>
  <c r="M12" i="14"/>
  <c r="N12" i="14" s="1"/>
  <c r="G12" i="14"/>
  <c r="R11" i="14"/>
  <c r="M11" i="14"/>
  <c r="N11" i="14" s="1"/>
  <c r="G11" i="14"/>
  <c r="Q8" i="14"/>
  <c r="P8" i="14"/>
  <c r="L8" i="14"/>
  <c r="K8" i="14"/>
  <c r="I8" i="14"/>
  <c r="H8" i="14"/>
  <c r="E8" i="14"/>
  <c r="R7" i="14"/>
  <c r="M7" i="14"/>
  <c r="N7" i="14" s="1"/>
  <c r="G7" i="14"/>
  <c r="R6" i="14"/>
  <c r="M6" i="14"/>
  <c r="N6" i="14" s="1"/>
  <c r="G6" i="14"/>
  <c r="R5" i="14"/>
  <c r="M5" i="14"/>
  <c r="N5" i="14" s="1"/>
  <c r="G5" i="14"/>
  <c r="H53" i="14" l="1"/>
  <c r="F53" i="14"/>
  <c r="P53" i="14"/>
  <c r="K53" i="14"/>
  <c r="J53" i="14"/>
  <c r="I53" i="14"/>
  <c r="Q53" i="14"/>
  <c r="L53" i="14"/>
  <c r="M24" i="14"/>
  <c r="N46" i="14"/>
  <c r="M29" i="14"/>
  <c r="O23" i="14"/>
  <c r="O24" i="14" s="1"/>
  <c r="O36" i="14"/>
  <c r="M8" i="14"/>
  <c r="O14" i="14"/>
  <c r="N22" i="14"/>
  <c r="N24" i="14" s="1"/>
  <c r="N27" i="14"/>
  <c r="O41" i="14"/>
  <c r="R8" i="14"/>
  <c r="M19" i="14"/>
  <c r="O28" i="14"/>
  <c r="O39" i="14"/>
  <c r="O33" i="14"/>
  <c r="O6" i="14"/>
  <c r="M43" i="14"/>
  <c r="O37" i="14"/>
  <c r="O12" i="14"/>
  <c r="R43" i="14"/>
  <c r="O35" i="14"/>
  <c r="O17" i="14"/>
  <c r="O15" i="14"/>
  <c r="R19" i="14"/>
  <c r="O42" i="14"/>
  <c r="O40" i="14"/>
  <c r="O38" i="14"/>
  <c r="O34" i="14"/>
  <c r="O18" i="14"/>
  <c r="E53" i="14"/>
  <c r="O16" i="14"/>
  <c r="O7" i="14"/>
  <c r="G8" i="14"/>
  <c r="G19" i="14"/>
  <c r="G29" i="14"/>
  <c r="G43" i="14"/>
  <c r="L46" i="8"/>
  <c r="L33" i="8"/>
  <c r="L34" i="8"/>
  <c r="L35" i="8"/>
  <c r="L36" i="8"/>
  <c r="L37" i="8"/>
  <c r="L38" i="8"/>
  <c r="L39" i="8"/>
  <c r="L40" i="8"/>
  <c r="L41" i="8"/>
  <c r="L42" i="8"/>
  <c r="L32" i="8"/>
  <c r="L28" i="8"/>
  <c r="L27" i="8"/>
  <c r="Q13" i="8"/>
  <c r="M13" i="8"/>
  <c r="F13" i="8"/>
  <c r="L23" i="8"/>
  <c r="L12" i="8"/>
  <c r="L14" i="8"/>
  <c r="L15" i="8"/>
  <c r="L16" i="8"/>
  <c r="L17" i="8"/>
  <c r="L18" i="8"/>
  <c r="L11" i="8"/>
  <c r="L6" i="8"/>
  <c r="L7" i="8"/>
  <c r="L5" i="8"/>
  <c r="M53" i="14" l="1"/>
  <c r="G53" i="14"/>
  <c r="R53" i="14"/>
  <c r="L19" i="8"/>
  <c r="N47" i="14"/>
  <c r="O46" i="14"/>
  <c r="O47" i="14" s="1"/>
  <c r="N29" i="14"/>
  <c r="O27" i="14"/>
  <c r="O29" i="14" s="1"/>
  <c r="N19" i="14"/>
  <c r="O11" i="14"/>
  <c r="O19" i="14" s="1"/>
  <c r="N43" i="14"/>
  <c r="O32" i="14"/>
  <c r="O43" i="14" s="1"/>
  <c r="N8" i="14"/>
  <c r="O5" i="14"/>
  <c r="O8" i="14" s="1"/>
  <c r="N13" i="8"/>
  <c r="G33" i="8"/>
  <c r="G34" i="8"/>
  <c r="G35" i="8"/>
  <c r="G36" i="8"/>
  <c r="G37" i="8"/>
  <c r="G38" i="8"/>
  <c r="G39" i="8"/>
  <c r="G40" i="8"/>
  <c r="G41" i="8"/>
  <c r="G42" i="8"/>
  <c r="G28" i="8"/>
  <c r="G12" i="8"/>
  <c r="G14" i="8"/>
  <c r="G15" i="8"/>
  <c r="G16" i="8"/>
  <c r="G17" i="8"/>
  <c r="G18" i="8"/>
  <c r="G6" i="8"/>
  <c r="G7" i="8"/>
  <c r="O53" i="14" l="1"/>
  <c r="N53" i="14"/>
  <c r="E43" i="8"/>
  <c r="F19" i="8"/>
  <c r="G46" i="8" l="1"/>
  <c r="G47" i="8" s="1"/>
  <c r="G32" i="8"/>
  <c r="G27" i="8"/>
  <c r="G29" i="8" s="1"/>
  <c r="G23" i="8"/>
  <c r="G24" i="8" s="1"/>
  <c r="G11" i="8"/>
  <c r="G19" i="8" s="1"/>
  <c r="G5" i="8"/>
  <c r="F47" i="8"/>
  <c r="F43" i="8"/>
  <c r="F29" i="8"/>
  <c r="F24" i="8"/>
  <c r="F8" i="8"/>
  <c r="P47" i="8"/>
  <c r="O47" i="8"/>
  <c r="L47" i="8"/>
  <c r="K47" i="8"/>
  <c r="J47" i="8"/>
  <c r="I47" i="8"/>
  <c r="H47" i="8"/>
  <c r="E47" i="8"/>
  <c r="Q46" i="8"/>
  <c r="Q47" i="8" s="1"/>
  <c r="M46" i="8"/>
  <c r="M47" i="8" s="1"/>
  <c r="P43" i="8"/>
  <c r="O43" i="8"/>
  <c r="L43" i="8"/>
  <c r="K43" i="8"/>
  <c r="J43" i="8"/>
  <c r="I43" i="8"/>
  <c r="H43" i="8"/>
  <c r="Q42" i="8"/>
  <c r="M42" i="8"/>
  <c r="Q41" i="8"/>
  <c r="M41" i="8"/>
  <c r="Q40" i="8"/>
  <c r="M40" i="8"/>
  <c r="Q39" i="8"/>
  <c r="M39" i="8"/>
  <c r="Q38" i="8"/>
  <c r="M38" i="8"/>
  <c r="Q37" i="8"/>
  <c r="M37" i="8"/>
  <c r="Q36" i="8"/>
  <c r="M36" i="8"/>
  <c r="Q35" i="8"/>
  <c r="M35" i="8"/>
  <c r="Q34" i="8"/>
  <c r="M34" i="8"/>
  <c r="Q33" i="8"/>
  <c r="M33" i="8"/>
  <c r="Q32" i="8"/>
  <c r="M32" i="8"/>
  <c r="P29" i="8"/>
  <c r="O29" i="8"/>
  <c r="L29" i="8"/>
  <c r="K29" i="8"/>
  <c r="J29" i="8"/>
  <c r="I29" i="8"/>
  <c r="H29" i="8"/>
  <c r="E29" i="8"/>
  <c r="M28" i="8"/>
  <c r="N28" i="8" s="1"/>
  <c r="Q27" i="8"/>
  <c r="Q29" i="8" s="1"/>
  <c r="M27" i="8"/>
  <c r="P24" i="8"/>
  <c r="O24" i="8"/>
  <c r="L24" i="8"/>
  <c r="K24" i="8"/>
  <c r="J24" i="8"/>
  <c r="I24" i="8"/>
  <c r="H24" i="8"/>
  <c r="E24" i="8"/>
  <c r="Q23" i="8"/>
  <c r="Q24" i="8" s="1"/>
  <c r="M23" i="8"/>
  <c r="P19" i="8"/>
  <c r="O19" i="8"/>
  <c r="K19" i="8"/>
  <c r="J19" i="8"/>
  <c r="I19" i="8"/>
  <c r="H19" i="8"/>
  <c r="E19" i="8"/>
  <c r="Q18" i="8"/>
  <c r="M18" i="8"/>
  <c r="Q17" i="8"/>
  <c r="M17" i="8"/>
  <c r="Q16" i="8"/>
  <c r="M16" i="8"/>
  <c r="Q15" i="8"/>
  <c r="M15" i="8"/>
  <c r="Q14" i="8"/>
  <c r="M14" i="8"/>
  <c r="Q12" i="8"/>
  <c r="M12" i="8"/>
  <c r="Q11" i="8"/>
  <c r="M11" i="8"/>
  <c r="P8" i="8"/>
  <c r="O8" i="8"/>
  <c r="L8" i="8"/>
  <c r="K8" i="8"/>
  <c r="J8" i="8"/>
  <c r="I8" i="8"/>
  <c r="H8" i="8"/>
  <c r="E8" i="8"/>
  <c r="Q7" i="8"/>
  <c r="M7" i="8"/>
  <c r="Q6" i="8"/>
  <c r="M6" i="8"/>
  <c r="Q5" i="8"/>
  <c r="M5" i="8"/>
  <c r="H53" i="8" l="1"/>
  <c r="L53" i="8"/>
  <c r="F53" i="8"/>
  <c r="J53" i="8"/>
  <c r="Q8" i="8"/>
  <c r="K53" i="8"/>
  <c r="O53" i="8"/>
  <c r="P53" i="8"/>
  <c r="I53" i="8"/>
  <c r="E53" i="8"/>
  <c r="M29" i="8"/>
  <c r="N34" i="8"/>
  <c r="N38" i="8"/>
  <c r="N42" i="8"/>
  <c r="G8" i="8"/>
  <c r="G43" i="8"/>
  <c r="N17" i="8"/>
  <c r="N15" i="8"/>
  <c r="N11" i="8"/>
  <c r="Q19" i="8"/>
  <c r="Q53" i="8" s="1"/>
  <c r="M24" i="8"/>
  <c r="Q43" i="8"/>
  <c r="N40" i="8"/>
  <c r="N36" i="8"/>
  <c r="N14" i="8"/>
  <c r="N46" i="8"/>
  <c r="N47" i="8" s="1"/>
  <c r="N41" i="8"/>
  <c r="N39" i="8"/>
  <c r="N37" i="8"/>
  <c r="N35" i="8"/>
  <c r="M43" i="8"/>
  <c r="N33" i="8"/>
  <c r="N23" i="8"/>
  <c r="N24" i="8" s="1"/>
  <c r="N18" i="8"/>
  <c r="N16" i="8"/>
  <c r="M19" i="8"/>
  <c r="N12" i="8"/>
  <c r="N7" i="8"/>
  <c r="M8" i="8"/>
  <c r="N6" i="8"/>
  <c r="N5" i="8"/>
  <c r="N27" i="8"/>
  <c r="N29" i="8" s="1"/>
  <c r="N32" i="8"/>
  <c r="M53" i="8" l="1"/>
  <c r="G53" i="8"/>
  <c r="N43" i="8"/>
  <c r="N19" i="8"/>
  <c r="N8" i="8"/>
  <c r="F18" i="7"/>
  <c r="M51" i="7"/>
  <c r="M52" i="7"/>
  <c r="N52" i="7" s="1"/>
  <c r="M53" i="7"/>
  <c r="N53" i="7" s="1"/>
  <c r="M54" i="7"/>
  <c r="N54" i="7" s="1"/>
  <c r="F46" i="7"/>
  <c r="F47" i="7" s="1"/>
  <c r="F42" i="7"/>
  <c r="F41" i="7"/>
  <c r="F40" i="7"/>
  <c r="F39" i="7"/>
  <c r="F38" i="7"/>
  <c r="F37" i="7"/>
  <c r="F36" i="7"/>
  <c r="F35" i="7"/>
  <c r="F34" i="7"/>
  <c r="F33" i="7"/>
  <c r="F32" i="7"/>
  <c r="F23" i="7"/>
  <c r="F27" i="7"/>
  <c r="F29" i="7" s="1"/>
  <c r="F17" i="7"/>
  <c r="F16" i="7"/>
  <c r="F15" i="7"/>
  <c r="F6" i="7"/>
  <c r="F5" i="7"/>
  <c r="L46" i="6"/>
  <c r="L47" i="6" s="1"/>
  <c r="E46" i="6"/>
  <c r="E47" i="6" s="1"/>
  <c r="L33" i="6"/>
  <c r="L34" i="6"/>
  <c r="L35" i="6"/>
  <c r="L36" i="6"/>
  <c r="L37" i="6"/>
  <c r="L38" i="6"/>
  <c r="L39" i="6"/>
  <c r="L40" i="6"/>
  <c r="L41" i="6"/>
  <c r="L42" i="6"/>
  <c r="L32" i="6"/>
  <c r="E42" i="6"/>
  <c r="E41" i="6"/>
  <c r="E40" i="6"/>
  <c r="E39" i="6"/>
  <c r="E38" i="6"/>
  <c r="E37" i="6"/>
  <c r="M37" i="6" s="1"/>
  <c r="E36" i="6"/>
  <c r="E35" i="6"/>
  <c r="E34" i="6"/>
  <c r="E33" i="6"/>
  <c r="M33" i="6" s="1"/>
  <c r="E32" i="6"/>
  <c r="L28" i="6"/>
  <c r="L27" i="6"/>
  <c r="E27" i="6"/>
  <c r="E29" i="6" s="1"/>
  <c r="L23" i="6"/>
  <c r="L22" i="6"/>
  <c r="L24" i="6" s="1"/>
  <c r="L12" i="6"/>
  <c r="L13" i="6"/>
  <c r="M13" i="6" s="1"/>
  <c r="L14" i="6"/>
  <c r="L15" i="6"/>
  <c r="M15" i="6" s="1"/>
  <c r="L16" i="6"/>
  <c r="L11" i="6"/>
  <c r="L6" i="6"/>
  <c r="L7" i="6"/>
  <c r="L5" i="6"/>
  <c r="E18" i="6"/>
  <c r="E17" i="6"/>
  <c r="E16" i="6"/>
  <c r="E15" i="6"/>
  <c r="E14" i="6"/>
  <c r="E13" i="6"/>
  <c r="E12" i="6"/>
  <c r="E11" i="6"/>
  <c r="E7" i="6"/>
  <c r="E6" i="6"/>
  <c r="E5" i="6"/>
  <c r="E42" i="5"/>
  <c r="E41" i="5"/>
  <c r="E40" i="5"/>
  <c r="E39" i="5"/>
  <c r="E38" i="5"/>
  <c r="E37" i="5"/>
  <c r="E36" i="5"/>
  <c r="E35" i="5"/>
  <c r="E34" i="5"/>
  <c r="E33" i="5"/>
  <c r="E32" i="5"/>
  <c r="Q23" i="7"/>
  <c r="Q24" i="7" s="1"/>
  <c r="M23" i="7"/>
  <c r="M7" i="7"/>
  <c r="Q55" i="7"/>
  <c r="P55" i="7"/>
  <c r="O55" i="7"/>
  <c r="L55" i="7"/>
  <c r="K55" i="7"/>
  <c r="J55" i="7"/>
  <c r="I55" i="7"/>
  <c r="H55" i="7"/>
  <c r="G55" i="7"/>
  <c r="E55" i="7"/>
  <c r="F51" i="7"/>
  <c r="F55" i="7" s="1"/>
  <c r="M50" i="7"/>
  <c r="N50" i="7" s="1"/>
  <c r="P47" i="7"/>
  <c r="O47" i="7"/>
  <c r="L47" i="7"/>
  <c r="K47" i="7"/>
  <c r="J47" i="7"/>
  <c r="I47" i="7"/>
  <c r="H47" i="7"/>
  <c r="G47" i="7"/>
  <c r="E47" i="7"/>
  <c r="Q46" i="7"/>
  <c r="Q47" i="7" s="1"/>
  <c r="M46" i="7"/>
  <c r="P43" i="7"/>
  <c r="O43" i="7"/>
  <c r="L43" i="7"/>
  <c r="K43" i="7"/>
  <c r="J43" i="7"/>
  <c r="I43" i="7"/>
  <c r="H43" i="7"/>
  <c r="G43" i="7"/>
  <c r="E43" i="7"/>
  <c r="Q42" i="7"/>
  <c r="M42" i="7"/>
  <c r="Q41" i="7"/>
  <c r="M41" i="7"/>
  <c r="Q40" i="7"/>
  <c r="M40" i="7"/>
  <c r="Q39" i="7"/>
  <c r="M39" i="7"/>
  <c r="N39" i="7" s="1"/>
  <c r="Q38" i="7"/>
  <c r="M38" i="7"/>
  <c r="Q37" i="7"/>
  <c r="M37" i="7"/>
  <c r="Q36" i="7"/>
  <c r="M36" i="7"/>
  <c r="Q35" i="7"/>
  <c r="M35" i="7"/>
  <c r="N35" i="7" s="1"/>
  <c r="Q34" i="7"/>
  <c r="M34" i="7"/>
  <c r="Q33" i="7"/>
  <c r="M33" i="7"/>
  <c r="Q32" i="7"/>
  <c r="Q43" i="7" s="1"/>
  <c r="M32" i="7"/>
  <c r="P29" i="7"/>
  <c r="O29" i="7"/>
  <c r="L29" i="7"/>
  <c r="K29" i="7"/>
  <c r="J29" i="7"/>
  <c r="I29" i="7"/>
  <c r="H29" i="7"/>
  <c r="G29" i="7"/>
  <c r="E29" i="7"/>
  <c r="M28" i="7"/>
  <c r="Q27" i="7"/>
  <c r="Q29" i="7" s="1"/>
  <c r="M27" i="7"/>
  <c r="P24" i="7"/>
  <c r="O24" i="7"/>
  <c r="L24" i="7"/>
  <c r="K24" i="7"/>
  <c r="J24" i="7"/>
  <c r="I24" i="7"/>
  <c r="H24" i="7"/>
  <c r="G24" i="7"/>
  <c r="E24" i="7"/>
  <c r="M22" i="7"/>
  <c r="P19" i="7"/>
  <c r="O19" i="7"/>
  <c r="L19" i="7"/>
  <c r="K19" i="7"/>
  <c r="J19" i="7"/>
  <c r="I19" i="7"/>
  <c r="H19" i="7"/>
  <c r="G19" i="7"/>
  <c r="E19" i="7"/>
  <c r="Q18" i="7"/>
  <c r="M18" i="7"/>
  <c r="Q17" i="7"/>
  <c r="M17" i="7"/>
  <c r="Q16" i="7"/>
  <c r="M16" i="7"/>
  <c r="Q15" i="7"/>
  <c r="M15" i="7"/>
  <c r="Q14" i="7"/>
  <c r="M14" i="7"/>
  <c r="F14" i="7"/>
  <c r="Q13" i="7"/>
  <c r="M13" i="7"/>
  <c r="F13" i="7"/>
  <c r="Q12" i="7"/>
  <c r="M12" i="7"/>
  <c r="F12" i="7"/>
  <c r="Q11" i="7"/>
  <c r="M11" i="7"/>
  <c r="F11" i="7"/>
  <c r="P8" i="7"/>
  <c r="O8" i="7"/>
  <c r="L8" i="7"/>
  <c r="K8" i="7"/>
  <c r="J8" i="7"/>
  <c r="I8" i="7"/>
  <c r="H8" i="7"/>
  <c r="G8" i="7"/>
  <c r="E8" i="7"/>
  <c r="Q7" i="7"/>
  <c r="F7" i="7"/>
  <c r="Q6" i="7"/>
  <c r="M6" i="7"/>
  <c r="Q5" i="7"/>
  <c r="M5" i="7"/>
  <c r="L50" i="5"/>
  <c r="L52" i="5"/>
  <c r="L53" i="5"/>
  <c r="L54" i="5"/>
  <c r="L46" i="5"/>
  <c r="L47" i="5" s="1"/>
  <c r="L33" i="5"/>
  <c r="L34" i="5"/>
  <c r="L35" i="5"/>
  <c r="L36" i="5"/>
  <c r="L37" i="5"/>
  <c r="L38" i="5"/>
  <c r="L39" i="5"/>
  <c r="L40" i="5"/>
  <c r="L41" i="5"/>
  <c r="L42" i="5"/>
  <c r="L32" i="5"/>
  <c r="L28" i="5"/>
  <c r="L27" i="5"/>
  <c r="L23" i="5"/>
  <c r="L22" i="5"/>
  <c r="L6" i="5"/>
  <c r="L5" i="5"/>
  <c r="L12" i="5"/>
  <c r="L13" i="5"/>
  <c r="L14" i="5"/>
  <c r="L15" i="5"/>
  <c r="L16" i="5"/>
  <c r="L11" i="5"/>
  <c r="P55" i="6"/>
  <c r="O55" i="6"/>
  <c r="N55" i="6"/>
  <c r="K55" i="6"/>
  <c r="J55" i="6"/>
  <c r="I55" i="6"/>
  <c r="H55" i="6"/>
  <c r="G55" i="6"/>
  <c r="F55" i="6"/>
  <c r="D55" i="6"/>
  <c r="L51" i="6"/>
  <c r="L55" i="6" s="1"/>
  <c r="E51" i="6"/>
  <c r="O47" i="6"/>
  <c r="N47" i="6"/>
  <c r="K47" i="6"/>
  <c r="J47" i="6"/>
  <c r="I47" i="6"/>
  <c r="H47" i="6"/>
  <c r="G47" i="6"/>
  <c r="F47" i="6"/>
  <c r="D47" i="6"/>
  <c r="P46" i="6"/>
  <c r="P47" i="6" s="1"/>
  <c r="O43" i="6"/>
  <c r="N43" i="6"/>
  <c r="K43" i="6"/>
  <c r="J43" i="6"/>
  <c r="I43" i="6"/>
  <c r="H43" i="6"/>
  <c r="G43" i="6"/>
  <c r="F43" i="6"/>
  <c r="D43" i="6"/>
  <c r="P42" i="6"/>
  <c r="P41" i="6"/>
  <c r="P40" i="6"/>
  <c r="P39" i="6"/>
  <c r="P38" i="6"/>
  <c r="P37" i="6"/>
  <c r="P36" i="6"/>
  <c r="P35" i="6"/>
  <c r="M35" i="6"/>
  <c r="P34" i="6"/>
  <c r="P33" i="6"/>
  <c r="P32" i="6"/>
  <c r="O29" i="6"/>
  <c r="N29" i="6"/>
  <c r="K29" i="6"/>
  <c r="J29" i="6"/>
  <c r="I29" i="6"/>
  <c r="H29" i="6"/>
  <c r="G29" i="6"/>
  <c r="F29" i="6"/>
  <c r="D29" i="6"/>
  <c r="P27" i="6"/>
  <c r="P29" i="6" s="1"/>
  <c r="P24" i="6"/>
  <c r="O24" i="6"/>
  <c r="N24" i="6"/>
  <c r="M24" i="6"/>
  <c r="K24" i="6"/>
  <c r="J24" i="6"/>
  <c r="I24" i="6"/>
  <c r="H24" i="6"/>
  <c r="G24" i="6"/>
  <c r="F24" i="6"/>
  <c r="E24" i="6"/>
  <c r="D24" i="6"/>
  <c r="O19" i="6"/>
  <c r="N19" i="6"/>
  <c r="K19" i="6"/>
  <c r="J19" i="6"/>
  <c r="I19" i="6"/>
  <c r="H19" i="6"/>
  <c r="G19" i="6"/>
  <c r="F19" i="6"/>
  <c r="D19" i="6"/>
  <c r="P18" i="6"/>
  <c r="L18" i="6"/>
  <c r="P17" i="6"/>
  <c r="L17" i="6"/>
  <c r="M17" i="6" s="1"/>
  <c r="P16" i="6"/>
  <c r="P15" i="6"/>
  <c r="O8" i="6"/>
  <c r="N8" i="6"/>
  <c r="K8" i="6"/>
  <c r="J8" i="6"/>
  <c r="I8" i="6"/>
  <c r="H8" i="6"/>
  <c r="G8" i="6"/>
  <c r="F8" i="6"/>
  <c r="D8" i="6"/>
  <c r="P7" i="6"/>
  <c r="P6" i="6"/>
  <c r="P5" i="6"/>
  <c r="N55" i="5"/>
  <c r="O55" i="5"/>
  <c r="P55" i="5"/>
  <c r="N47" i="5"/>
  <c r="O47" i="5"/>
  <c r="P46" i="5"/>
  <c r="P47" i="5" s="1"/>
  <c r="N43" i="5"/>
  <c r="O43" i="5"/>
  <c r="P42" i="5"/>
  <c r="P41" i="5"/>
  <c r="P40" i="5"/>
  <c r="P39" i="5"/>
  <c r="P38" i="5"/>
  <c r="P37" i="5"/>
  <c r="P36" i="5"/>
  <c r="P35" i="5"/>
  <c r="P34" i="5"/>
  <c r="P33" i="5"/>
  <c r="P32" i="5"/>
  <c r="N29" i="5"/>
  <c r="O29" i="5"/>
  <c r="P27" i="5"/>
  <c r="P29" i="5" s="1"/>
  <c r="N24" i="5"/>
  <c r="O24" i="5"/>
  <c r="P24" i="5"/>
  <c r="N19" i="5"/>
  <c r="O19" i="5"/>
  <c r="P18" i="5"/>
  <c r="P17" i="5"/>
  <c r="P16" i="5"/>
  <c r="P15" i="5"/>
  <c r="P14" i="5"/>
  <c r="P13" i="5"/>
  <c r="P12" i="5"/>
  <c r="P11" i="5"/>
  <c r="P6" i="5"/>
  <c r="P7" i="5"/>
  <c r="P5" i="5"/>
  <c r="O8" i="5"/>
  <c r="N8" i="5"/>
  <c r="F55" i="5"/>
  <c r="G55" i="5"/>
  <c r="H55" i="5"/>
  <c r="I55" i="5"/>
  <c r="J55" i="5"/>
  <c r="K55" i="5"/>
  <c r="D55" i="5"/>
  <c r="F47" i="5"/>
  <c r="G47" i="5"/>
  <c r="H47" i="5"/>
  <c r="I47" i="5"/>
  <c r="J47" i="5"/>
  <c r="K47" i="5"/>
  <c r="D47" i="5"/>
  <c r="F43" i="5"/>
  <c r="G43" i="5"/>
  <c r="H43" i="5"/>
  <c r="I43" i="5"/>
  <c r="J43" i="5"/>
  <c r="K43" i="5"/>
  <c r="D43" i="5"/>
  <c r="F29" i="5"/>
  <c r="G29" i="5"/>
  <c r="H29" i="5"/>
  <c r="I29" i="5"/>
  <c r="J29" i="5"/>
  <c r="K29" i="5"/>
  <c r="D29" i="5"/>
  <c r="E24" i="5"/>
  <c r="F24" i="5"/>
  <c r="G24" i="5"/>
  <c r="H24" i="5"/>
  <c r="I24" i="5"/>
  <c r="J24" i="5"/>
  <c r="K24" i="5"/>
  <c r="M24" i="5"/>
  <c r="D24" i="5"/>
  <c r="D19" i="5"/>
  <c r="F19" i="5"/>
  <c r="G19" i="5"/>
  <c r="H19" i="5"/>
  <c r="I19" i="5"/>
  <c r="J19" i="5"/>
  <c r="K19" i="5"/>
  <c r="F8" i="5"/>
  <c r="G8" i="5"/>
  <c r="H8" i="5"/>
  <c r="H58" i="5" s="1"/>
  <c r="I8" i="5"/>
  <c r="J8" i="5"/>
  <c r="K8" i="5"/>
  <c r="D8" i="5"/>
  <c r="D58" i="5" s="1"/>
  <c r="E5" i="5"/>
  <c r="E51" i="5"/>
  <c r="E55" i="5" s="1"/>
  <c r="L51" i="5"/>
  <c r="L17" i="5"/>
  <c r="E16" i="5"/>
  <c r="E17" i="5"/>
  <c r="E6" i="5"/>
  <c r="E7" i="5"/>
  <c r="E11" i="5"/>
  <c r="E12" i="5"/>
  <c r="E13" i="5"/>
  <c r="E14" i="5"/>
  <c r="L18" i="5"/>
  <c r="E18" i="5"/>
  <c r="L7" i="5"/>
  <c r="E15" i="5"/>
  <c r="E27" i="5"/>
  <c r="E29" i="5" s="1"/>
  <c r="E46" i="5"/>
  <c r="E47" i="5" s="1"/>
  <c r="M41" i="6" l="1"/>
  <c r="E8" i="6"/>
  <c r="N53" i="8"/>
  <c r="K58" i="5"/>
  <c r="G58" i="5"/>
  <c r="L24" i="5"/>
  <c r="O58" i="7"/>
  <c r="P58" i="7"/>
  <c r="I58" i="7"/>
  <c r="H58" i="7"/>
  <c r="G58" i="7"/>
  <c r="J58" i="7"/>
  <c r="K58" i="7"/>
  <c r="L58" i="7"/>
  <c r="N58" i="6"/>
  <c r="H58" i="6"/>
  <c r="M11" i="6"/>
  <c r="M16" i="6"/>
  <c r="O58" i="6"/>
  <c r="L29" i="6"/>
  <c r="D58" i="6"/>
  <c r="G58" i="6"/>
  <c r="F58" i="6"/>
  <c r="L43" i="6"/>
  <c r="M36" i="6"/>
  <c r="M40" i="6"/>
  <c r="I58" i="6"/>
  <c r="J58" i="6"/>
  <c r="K58" i="6"/>
  <c r="M51" i="6"/>
  <c r="M55" i="6" s="1"/>
  <c r="O58" i="5"/>
  <c r="F58" i="5"/>
  <c r="J58" i="5"/>
  <c r="I58" i="5"/>
  <c r="N58" i="5"/>
  <c r="M36" i="5"/>
  <c r="P43" i="6"/>
  <c r="M6" i="5"/>
  <c r="N33" i="7"/>
  <c r="N37" i="7"/>
  <c r="N41" i="7"/>
  <c r="M7" i="6"/>
  <c r="P8" i="5"/>
  <c r="E58" i="7"/>
  <c r="M34" i="6"/>
  <c r="M38" i="6"/>
  <c r="M42" i="6"/>
  <c r="P19" i="5"/>
  <c r="P43" i="5"/>
  <c r="P19" i="6"/>
  <c r="N14" i="7"/>
  <c r="N51" i="7"/>
  <c r="N55" i="7" s="1"/>
  <c r="E19" i="5"/>
  <c r="M39" i="6"/>
  <c r="P8" i="6"/>
  <c r="M18" i="6"/>
  <c r="N13" i="7"/>
  <c r="M6" i="6"/>
  <c r="E43" i="6"/>
  <c r="N36" i="7"/>
  <c r="M29" i="7"/>
  <c r="M55" i="7"/>
  <c r="N38" i="7"/>
  <c r="N40" i="7"/>
  <c r="N42" i="7"/>
  <c r="N34" i="7"/>
  <c r="M43" i="7"/>
  <c r="N32" i="7"/>
  <c r="N23" i="7"/>
  <c r="N24" i="7" s="1"/>
  <c r="F24" i="7"/>
  <c r="N15" i="7"/>
  <c r="N16" i="7"/>
  <c r="N18" i="7"/>
  <c r="N17" i="7"/>
  <c r="M12" i="6"/>
  <c r="M14" i="6"/>
  <c r="L8" i="6"/>
  <c r="L19" i="6"/>
  <c r="L29" i="5"/>
  <c r="N46" i="7"/>
  <c r="N47" i="7" s="1"/>
  <c r="M46" i="6"/>
  <c r="M47" i="6" s="1"/>
  <c r="M32" i="6"/>
  <c r="E43" i="5"/>
  <c r="M17" i="5"/>
  <c r="E19" i="6"/>
  <c r="M5" i="6"/>
  <c r="M24" i="7"/>
  <c r="Q19" i="7"/>
  <c r="Q8" i="7"/>
  <c r="M19" i="7"/>
  <c r="N12" i="7"/>
  <c r="N5" i="7"/>
  <c r="N6" i="7"/>
  <c r="M8" i="7"/>
  <c r="N7" i="7"/>
  <c r="N11" i="7"/>
  <c r="F43" i="7"/>
  <c r="M47" i="7"/>
  <c r="F8" i="7"/>
  <c r="F19" i="7"/>
  <c r="N27" i="7"/>
  <c r="N29" i="7" s="1"/>
  <c r="L55" i="5"/>
  <c r="L43" i="5"/>
  <c r="M13" i="5"/>
  <c r="L19" i="5"/>
  <c r="M5" i="5"/>
  <c r="M27" i="6"/>
  <c r="M29" i="6" s="1"/>
  <c r="E55" i="6"/>
  <c r="E58" i="6" s="1"/>
  <c r="L8" i="5"/>
  <c r="M39" i="5"/>
  <c r="M32" i="5"/>
  <c r="M34" i="5"/>
  <c r="M37" i="5"/>
  <c r="M40" i="5"/>
  <c r="M46" i="5"/>
  <c r="M15" i="5"/>
  <c r="M41" i="5"/>
  <c r="M33" i="5"/>
  <c r="M35" i="5"/>
  <c r="M38" i="5"/>
  <c r="M42" i="5"/>
  <c r="M27" i="5"/>
  <c r="M16" i="5"/>
  <c r="M12" i="5"/>
  <c r="M51" i="5"/>
  <c r="E8" i="5"/>
  <c r="M14" i="5"/>
  <c r="M11" i="5"/>
  <c r="M7" i="5"/>
  <c r="M18" i="5"/>
  <c r="F58" i="7" l="1"/>
  <c r="Q58" i="7"/>
  <c r="M58" i="7"/>
  <c r="L58" i="6"/>
  <c r="L58" i="5"/>
  <c r="P58" i="5"/>
  <c r="P58" i="6"/>
  <c r="M29" i="5"/>
  <c r="M55" i="5"/>
  <c r="M47" i="5"/>
  <c r="M8" i="6"/>
  <c r="M43" i="6"/>
  <c r="M19" i="6"/>
  <c r="N43" i="7"/>
  <c r="M8" i="5"/>
  <c r="E58" i="5"/>
  <c r="N19" i="7"/>
  <c r="N8" i="7"/>
  <c r="M43" i="5"/>
  <c r="M19" i="5"/>
  <c r="N58" i="7" l="1"/>
  <c r="M58" i="6"/>
  <c r="M58" i="5"/>
</calcChain>
</file>

<file path=xl/comments1.xml><?xml version="1.0" encoding="utf-8"?>
<comments xmlns="http://schemas.openxmlformats.org/spreadsheetml/2006/main">
  <authors>
    <author>luis topete martinez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ANTICIPO $25,000.00 AGUINALDO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ANTICIPO AGUINALDO $5,000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$7,000 ANTICIPO AGUINALDO</t>
        </r>
      </text>
    </comment>
    <comment ref="K34" authorId="0" shapeId="0">
      <text>
        <r>
          <rPr>
            <b/>
            <sz val="9"/>
            <color indexed="81"/>
            <rFont val="Tahoma"/>
            <family val="2"/>
          </rPr>
          <t xml:space="preserve">$7,000.00 anticipo aguinaldo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<sst xmlns="http://schemas.openxmlformats.org/spreadsheetml/2006/main" count="5603" uniqueCount="258">
  <si>
    <t>Nombramiento</t>
  </si>
  <si>
    <t>Jefe Administrativo</t>
  </si>
  <si>
    <t>Jefe de Operación</t>
  </si>
  <si>
    <t>Asistente de Dirección</t>
  </si>
  <si>
    <t>Auxiliar General</t>
  </si>
  <si>
    <t>Velador</t>
  </si>
  <si>
    <t>Médico</t>
  </si>
  <si>
    <t>Tallerista</t>
  </si>
  <si>
    <t>IMSS PATRONAL</t>
  </si>
  <si>
    <t>Código</t>
  </si>
  <si>
    <t>Empleado</t>
  </si>
  <si>
    <t>Sueldo</t>
  </si>
  <si>
    <t>*TOTAL* *PERCEPCIONES*</t>
  </si>
  <si>
    <t>I.S.R. (sp)</t>
  </si>
  <si>
    <t>I.M.S.S.</t>
  </si>
  <si>
    <t>Ajuste al neto</t>
  </si>
  <si>
    <t>Pensiones del Estado</t>
  </si>
  <si>
    <t>*TOTAL* *DEDUCCIONES*</t>
  </si>
  <si>
    <t>SEDAR PAT. PENSIONES DEL ESTADO</t>
  </si>
  <si>
    <t>DEPARTAMENTO 1</t>
  </si>
  <si>
    <t>DIRECCION GENERAL</t>
  </si>
  <si>
    <t>DG01</t>
  </si>
  <si>
    <t>Méndez González Gabriela Elizabeth</t>
  </si>
  <si>
    <t>DG02</t>
  </si>
  <si>
    <t>Serratos Briones Paula Amparo</t>
  </si>
  <si>
    <t>Directora General</t>
  </si>
  <si>
    <t>TOTAL DEPARTAMENTO</t>
  </si>
  <si>
    <t>DEPARTAMENTO 2</t>
  </si>
  <si>
    <t>JEFATURA ADMINISTRATIVA</t>
  </si>
  <si>
    <t>JA01</t>
  </si>
  <si>
    <t>JA02</t>
  </si>
  <si>
    <t>JA03</t>
  </si>
  <si>
    <t>JA04</t>
  </si>
  <si>
    <t>JA05</t>
  </si>
  <si>
    <t>JA06</t>
  </si>
  <si>
    <t>JA07</t>
  </si>
  <si>
    <t>JA08</t>
  </si>
  <si>
    <t>Gómez Alcántar Verónica María</t>
  </si>
  <si>
    <t>Ruvalcaba Velarde Zuria Paulina</t>
  </si>
  <si>
    <t>Vigilante</t>
  </si>
  <si>
    <t>Coordinador Intendencia</t>
  </si>
  <si>
    <t>DG03</t>
  </si>
  <si>
    <t>García De la Torre Elizabeth Antonia</t>
  </si>
  <si>
    <t>DEPARTAMENTO 3</t>
  </si>
  <si>
    <t>AREA MEDICA</t>
  </si>
  <si>
    <t>AM01</t>
  </si>
  <si>
    <t>AM02</t>
  </si>
  <si>
    <t>AREA FISICA</t>
  </si>
  <si>
    <t>AF01</t>
  </si>
  <si>
    <t>AF02</t>
  </si>
  <si>
    <t>DEPARTAMENTO 4</t>
  </si>
  <si>
    <t>AREA ESPECIALIDADES</t>
  </si>
  <si>
    <t>AE01</t>
  </si>
  <si>
    <t>AE02</t>
  </si>
  <si>
    <t>AE03</t>
  </si>
  <si>
    <t>AE04</t>
  </si>
  <si>
    <t>AE05</t>
  </si>
  <si>
    <t>AE06</t>
  </si>
  <si>
    <t>AE07</t>
  </si>
  <si>
    <t>AE08</t>
  </si>
  <si>
    <t>AE09</t>
  </si>
  <si>
    <t>AE10</t>
  </si>
  <si>
    <t>AE11</t>
  </si>
  <si>
    <t>DEPARTAMENTO 5</t>
  </si>
  <si>
    <t>AREA TALLERES</t>
  </si>
  <si>
    <t>AT01</t>
  </si>
  <si>
    <t>PRESTADORES DE SERVICIOS PROFESIONALES</t>
  </si>
  <si>
    <t>PS01</t>
  </si>
  <si>
    <t>PS02</t>
  </si>
  <si>
    <t>PS03</t>
  </si>
  <si>
    <t>PS04</t>
  </si>
  <si>
    <t>PS05</t>
  </si>
  <si>
    <t>*NETO A PAGAR*</t>
  </si>
  <si>
    <t>*OBLIGACIONES PATRONALES*</t>
  </si>
  <si>
    <t>Licenciatura (Abogada)</t>
  </si>
  <si>
    <t>Licenciatura (Contador)</t>
  </si>
  <si>
    <t>Licenciatura (Enfermera)</t>
  </si>
  <si>
    <t>Coordinador (administrativo)</t>
  </si>
  <si>
    <t>Licenciatura (DM)</t>
  </si>
  <si>
    <t>Licenciatura (Terapista Físico)</t>
  </si>
  <si>
    <t>Licenciatura (DI)</t>
  </si>
  <si>
    <t>Licenciatura (Psicóloga)</t>
  </si>
  <si>
    <t>Licenciatura (A y L)</t>
  </si>
  <si>
    <t>Licenciatura (Trabajadora Social)</t>
  </si>
  <si>
    <t>Médico Especialista</t>
  </si>
  <si>
    <t>Lizardi Rodríguez Araceli María</t>
  </si>
  <si>
    <t>Martínez Ibarra José de Jesús</t>
  </si>
  <si>
    <t>Fajardo Gómez José Abraham</t>
  </si>
  <si>
    <t>Silva Díaz Angélica Araceli</t>
  </si>
  <si>
    <t>Zúñiga Reynaga Yolanda</t>
  </si>
  <si>
    <t>Pendiente</t>
  </si>
  <si>
    <t>Ramírez Burgos María de la Luz</t>
  </si>
  <si>
    <t>Ledezma Lazcarro Cinthia Nataly</t>
  </si>
  <si>
    <t>Arriaga Gómez Mariana</t>
  </si>
  <si>
    <t>Plascencia González Paola Viridiana</t>
  </si>
  <si>
    <t>Flores Orozco Carolina</t>
  </si>
  <si>
    <t>Cantera Ramírez Ana Elizabeth</t>
  </si>
  <si>
    <t>Tiscareño Padilla Blanca Rubí</t>
  </si>
  <si>
    <t>González Cruz Fabiola</t>
  </si>
  <si>
    <t>González Peña Cecilia Mayela</t>
  </si>
  <si>
    <t>Rivas Guzmán Ana Karen</t>
  </si>
  <si>
    <t>Córdova Camarena María de Jesús</t>
  </si>
  <si>
    <t>Ortiz Anguiano Nélida Guadalupe</t>
  </si>
  <si>
    <t>Sánchez Raygoza Fabiola Yolanda</t>
  </si>
  <si>
    <t>Morales Rubio Perla Liliana</t>
  </si>
  <si>
    <t>TOTALES</t>
  </si>
  <si>
    <t>Prestamo INFONAVIT</t>
  </si>
  <si>
    <t>Subsidio al empleo</t>
  </si>
  <si>
    <t>2a. SEPTIEMBRE 2015</t>
  </si>
  <si>
    <t>1A. SEPTIEMBRE 2015</t>
  </si>
  <si>
    <t>1A. OCTUBRE 2015</t>
  </si>
  <si>
    <t>Flores Pozos Julio Cesar</t>
  </si>
  <si>
    <t>2A. OCTUBRE 2015</t>
  </si>
  <si>
    <t xml:space="preserve">Ajuste  </t>
  </si>
  <si>
    <t>Flores Lopez Marisol</t>
  </si>
  <si>
    <t>JA09</t>
  </si>
  <si>
    <t>JA10</t>
  </si>
  <si>
    <t>JA11</t>
  </si>
  <si>
    <t>AM12</t>
  </si>
  <si>
    <t>AM13</t>
  </si>
  <si>
    <t>AF14</t>
  </si>
  <si>
    <t>AF15</t>
  </si>
  <si>
    <t>AE16</t>
  </si>
  <si>
    <t>AE17</t>
  </si>
  <si>
    <t>AE18</t>
  </si>
  <si>
    <t>AE19</t>
  </si>
  <si>
    <t>AE20</t>
  </si>
  <si>
    <t>AE21</t>
  </si>
  <si>
    <t>AE22</t>
  </si>
  <si>
    <t>AE23</t>
  </si>
  <si>
    <t>AE24</t>
  </si>
  <si>
    <t>AE25</t>
  </si>
  <si>
    <t>AE26</t>
  </si>
  <si>
    <t>AT27</t>
  </si>
  <si>
    <t>TOTALDEPARTAMENTO 3</t>
  </si>
  <si>
    <t>TOTALDEPARTAMENTO 1</t>
  </si>
  <si>
    <t>TOTALDEPARTAMENTO 2</t>
  </si>
  <si>
    <t>TOTALDEPARTAMENTO 4</t>
  </si>
  <si>
    <t>TOTALDEPARTAMENTO 5</t>
  </si>
  <si>
    <t>TOTALDEPARTAMENTO 6</t>
  </si>
  <si>
    <t>DEPARTAMENTO 6</t>
  </si>
  <si>
    <t>Topete Martinez Luis</t>
  </si>
  <si>
    <t>1A QUINCENA NOVIEMBRE 2015</t>
  </si>
  <si>
    <t xml:space="preserve">I.S.R. </t>
  </si>
  <si>
    <t>REALIZO</t>
  </si>
  <si>
    <t>AUTORIZO</t>
  </si>
  <si>
    <t>LUIS TOPETE MARTINEZ</t>
  </si>
  <si>
    <t xml:space="preserve">Verónica María Gómez Alcántar </t>
  </si>
  <si>
    <t>2A QUINCENA NOVIEMBRE 2015</t>
  </si>
  <si>
    <t>1A QUINCENA DICIEMBRE 2015</t>
  </si>
  <si>
    <t>DIAS LABORADOS</t>
  </si>
  <si>
    <t>2A QUINCENA DICIEMBRE 2015</t>
  </si>
  <si>
    <t>AT28</t>
  </si>
  <si>
    <t>1A QUINCENA ENERO 2016</t>
  </si>
  <si>
    <t>DESCUENTO POR RETARDOS</t>
  </si>
  <si>
    <t>2A QUINCENA ENERO 2016</t>
  </si>
  <si>
    <t>1A QUINCENA FEBRERO 2016</t>
  </si>
  <si>
    <t>VERONICA MARIA GOMEZ ALCANTAR</t>
  </si>
  <si>
    <t>2A QUINCENA FEBRERO 2016</t>
  </si>
  <si>
    <t xml:space="preserve">DESCUENTO POR RETARDOS Y PENSIONES </t>
  </si>
  <si>
    <t>AREA MEDICA Y FISICA</t>
  </si>
  <si>
    <t>DEPARTAMENTO 7</t>
  </si>
  <si>
    <t>JEFATURA DE OPERACIÓN</t>
  </si>
  <si>
    <t>JO03</t>
  </si>
  <si>
    <t>1A QUINCENA MARZO 2016</t>
  </si>
  <si>
    <t>2A QUINCENA MARZO 2016</t>
  </si>
  <si>
    <t>1A QUINCENA ABRIL 2016</t>
  </si>
  <si>
    <t>DESCUENTOS</t>
  </si>
  <si>
    <t>2A QUINCENA ABRIL 2016</t>
  </si>
  <si>
    <t xml:space="preserve">DESCUENTO </t>
  </si>
  <si>
    <t>DEVOLUCION RETROACTIVA DE APORTACION A PENSIONES</t>
  </si>
  <si>
    <t>DEESCUENTO POR NOMINA</t>
  </si>
  <si>
    <t>JULIO CESAR FLORES POZOS</t>
  </si>
  <si>
    <t>1A QUINCENA MAYO 2016</t>
  </si>
  <si>
    <t xml:space="preserve">                 </t>
  </si>
  <si>
    <t>2A QUINCENA MAYO 2016</t>
  </si>
  <si>
    <t>1A QUINCENA JUNIO 2016</t>
  </si>
  <si>
    <t xml:space="preserve">HECTOR HUGO VELAZQUEZ </t>
  </si>
  <si>
    <t xml:space="preserve">Hector Hugo Velazquez Hernandez </t>
  </si>
  <si>
    <t xml:space="preserve">Licenciatura </t>
  </si>
  <si>
    <t xml:space="preserve">PRESTAMO PENSIONES </t>
  </si>
  <si>
    <t>2DA QUINCENA JUNIO 2016</t>
  </si>
  <si>
    <t xml:space="preserve">DEVOLUCION </t>
  </si>
  <si>
    <t>1RA QUINCENA JULIO 2016</t>
  </si>
  <si>
    <t>2DA QUINCENA JULIO 2016</t>
  </si>
  <si>
    <t>1RA QUINCENA AGOSTO 2016</t>
  </si>
  <si>
    <t>Licenciatura (Terapeuta Físico)</t>
  </si>
  <si>
    <t>2DA QUINCENA AGOSTO 2016</t>
  </si>
  <si>
    <t>1RA QUINCENA SEPTIEMBRE 2016</t>
  </si>
  <si>
    <t>HECTOR HUGO VELAZQUEZ HERNANDEZ</t>
  </si>
  <si>
    <t>ESTIMULO AL  SERVIDOR PUBLICO 2016</t>
  </si>
  <si>
    <t>2DA QUINCENA SEPTIEMBRE 2016</t>
  </si>
  <si>
    <t>1RA QUINCENA OCTUBRE 2016</t>
  </si>
  <si>
    <t>2DA QUINCENA OCTUBRE 2016</t>
  </si>
  <si>
    <t>1RA QUINCENA NOVIEMBRE 2016</t>
  </si>
  <si>
    <t>2DA QUINCENA NOVIEMBRE 2016</t>
  </si>
  <si>
    <t>AGUINALDO 2016</t>
  </si>
  <si>
    <t>Codigo</t>
  </si>
  <si>
    <t>Nombre del empleado</t>
  </si>
  <si>
    <t>NOMBRE DE LA PLAZA</t>
  </si>
  <si>
    <t xml:space="preserve">DPTO </t>
  </si>
  <si>
    <t>SALARIO DIARIO</t>
  </si>
  <si>
    <t>SALARIO BASE DE COTIZACION</t>
  </si>
  <si>
    <t xml:space="preserve">1131 SUELDO BASE AL PERSONAL PERMANENTE MENSUAL </t>
  </si>
  <si>
    <t>1131 SUELDO BASE AL PERSONAL PERMANENTE ANUAL</t>
  </si>
  <si>
    <t>1321  VACACIONES</t>
  </si>
  <si>
    <t>PRIMA VACACIONA</t>
  </si>
  <si>
    <t>1322 GRATIFICACIÓN DE FIN DE AÑO (Aguinaldo)</t>
  </si>
  <si>
    <t xml:space="preserve">ANTICIPO DE AGUINALDO </t>
  </si>
  <si>
    <t xml:space="preserve">FALTAS </t>
  </si>
  <si>
    <t xml:space="preserve">1322 GRATIFICACIÓN DE FIN DE AÑO (Aguinaldo)  NETO </t>
  </si>
  <si>
    <t>ART.93 FRACCION  XIV 30 DIAS DE SALARIO MINIMO AREA GEOGRAFICA EXCENTOS DE ISR</t>
  </si>
  <si>
    <t xml:space="preserve">BASE PAR CALCULAR SUBSIDIO AL  ISR DE AGUILADO </t>
  </si>
  <si>
    <t>1322 GRATIFICACIÓN DE FIN DE AÑO (Subsidio al ISR de Aguinaldo)</t>
  </si>
  <si>
    <t>1RA QUINCENA DICIEMBRE 2016</t>
  </si>
  <si>
    <t xml:space="preserve">25% PRIMA VACIONAL </t>
  </si>
  <si>
    <t>2DA QUINCENA DICIEMBRE 2016</t>
  </si>
  <si>
    <t>1RA QUINCENA ENERO  2017</t>
  </si>
  <si>
    <t>CUOTAS A  PENSIONES  (IPEJAL 11.5% MAS 6.0% ADICIONAL)</t>
  </si>
  <si>
    <t>2DA QUINCENA ENERO  2017</t>
  </si>
  <si>
    <t>AT29</t>
  </si>
  <si>
    <t>Garcia Navarro Ruth</t>
  </si>
  <si>
    <t xml:space="preserve">Terapeuta </t>
  </si>
  <si>
    <t>1RA QUINCENA FEBRERO  2017</t>
  </si>
  <si>
    <t>Alatorre Rea Walter</t>
  </si>
  <si>
    <t>Alvaro Oropeza Anabel</t>
  </si>
  <si>
    <t>2DA QUINCENA FEBRERO  2017</t>
  </si>
  <si>
    <t>1RA QUINCENA MARZO  2017</t>
  </si>
  <si>
    <t>AF12</t>
  </si>
  <si>
    <t xml:space="preserve">Alvarado Solorio Estefania </t>
  </si>
  <si>
    <t>Jefe de Departamento</t>
  </si>
  <si>
    <t xml:space="preserve">Contador </t>
  </si>
  <si>
    <t>Abogado</t>
  </si>
  <si>
    <t xml:space="preserve">Conserje </t>
  </si>
  <si>
    <t>Auxilia Servicios Generales</t>
  </si>
  <si>
    <t xml:space="preserve">Intendente </t>
  </si>
  <si>
    <t xml:space="preserve">Enfermero </t>
  </si>
  <si>
    <t>Terapeuta Físico</t>
  </si>
  <si>
    <t>Terapeuta (DM)</t>
  </si>
  <si>
    <t xml:space="preserve">Coordinador Especialidades </t>
  </si>
  <si>
    <t>Psicólogo</t>
  </si>
  <si>
    <t>Terapeuta (A y L)</t>
  </si>
  <si>
    <t>Trabajador Social</t>
  </si>
  <si>
    <t>Terapeuta  (DM)</t>
  </si>
  <si>
    <t>Terapeuta  (DI)</t>
  </si>
  <si>
    <t>RETROACTIVO   2017</t>
  </si>
  <si>
    <t xml:space="preserve">DEVOLUCION RETROACTIVA </t>
  </si>
  <si>
    <t xml:space="preserve">QUINCENAS </t>
  </si>
  <si>
    <t xml:space="preserve">RETROACTIVO </t>
  </si>
  <si>
    <t>2DA QUINCENA MARZO  2017</t>
  </si>
  <si>
    <t>1RA QUINCENA ABRIL  2017</t>
  </si>
  <si>
    <t>PRIMA VACACIONAL</t>
  </si>
  <si>
    <t>CUOTAS A  PENSIONES  (IPEJAL 11.5% MAS 6.0% ADICIONAL) MAS 3% VIVIENDA</t>
  </si>
  <si>
    <t xml:space="preserve">Coordinador  Talleres </t>
  </si>
  <si>
    <t>Coordinadora Talleres</t>
  </si>
  <si>
    <t>2DA QUINCENA ABRIL  2017</t>
  </si>
  <si>
    <t>1RA QUINCENA MAYO  2017</t>
  </si>
  <si>
    <t>2DA QUINCENA MAYO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</si>
</sst>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#,##0.00_ ;[Red]\-#,##0.00\ "/>
    <numFmt numFmtId="166" formatCode="000"/>
    <numFmt numFmtId="167" formatCode="_-* #,##0_-;\-* #,##0_-;_-* &quot;-&quot;??_-;_-@_-"/>
    <numFmt numFmtId="168" formatCode="_-&quot;$&quot;* #,##0_-;\-&quot;$&quot;* #,##0_-;_-&quot;$&quot;* &quot;-&quot;??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indexed="52"/>
      <name val="Arial"/>
      <family val="2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Arial Black"/>
      <family val="2"/>
    </font>
    <font>
      <sz val="10"/>
      <color theme="1"/>
      <name val="Arial Black"/>
      <family val="2"/>
    </font>
    <font>
      <b/>
      <sz val="8"/>
      <name val="Arial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rgb="FF1F497D"/>
      <name val="Cambria"/>
      <family val="2"/>
      <charset val="1"/>
    </font>
    <font>
      <sz val="8"/>
      <color theme="1"/>
      <name val="Arial"/>
      <family val="2"/>
      <charset val="1"/>
    </font>
    <font>
      <sz val="8"/>
      <name val="Arial"/>
      <family val="2"/>
      <charset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sz val="6"/>
      <color rgb="FF993366"/>
      <name val="Arial"/>
      <family val="2"/>
      <charset val="1"/>
    </font>
    <font>
      <sz val="11"/>
      <color rgb="FF00B050"/>
      <name val="Calibri"/>
      <family val="2"/>
      <scheme val="minor"/>
    </font>
    <font>
      <sz val="8"/>
      <color theme="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  <charset val="1"/>
    </font>
    <font>
      <sz val="8"/>
      <color rgb="FF0070C0"/>
      <name val="Arial"/>
      <family val="2"/>
      <charset val="1"/>
    </font>
    <font>
      <sz val="11"/>
      <color rgb="FF0070C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4E01A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DF63CD"/>
        <bgColor indexed="64"/>
      </patternFill>
    </fill>
    <fill>
      <patternFill patternType="solid">
        <fgColor rgb="FF8AE8C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</fills>
  <borders count="36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rgb="FF0000FD"/>
      </left>
      <right/>
      <top style="thin">
        <color rgb="FF0000FD"/>
      </top>
      <bottom style="double">
        <color rgb="FF0000FD"/>
      </bottom>
      <diagonal/>
    </border>
    <border>
      <left/>
      <right/>
      <top style="thin">
        <color rgb="FF0000FD"/>
      </top>
      <bottom style="double">
        <color rgb="FF0000FD"/>
      </bottom>
      <diagonal/>
    </border>
    <border>
      <left/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5" tint="-0.249977111117893"/>
      </left>
      <right/>
      <top/>
      <bottom/>
      <diagonal/>
    </border>
    <border>
      <left/>
      <right/>
      <top/>
      <bottom style="thin">
        <color theme="5" tint="-0.249977111117893"/>
      </bottom>
      <diagonal/>
    </border>
    <border>
      <left/>
      <right/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/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auto="1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auto="1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0000FD"/>
      </top>
      <bottom style="thin">
        <color rgb="FFFF0000"/>
      </bottom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rgb="FFFF0000"/>
      </left>
      <right/>
      <top style="thin">
        <color rgb="FF0000FD"/>
      </top>
      <bottom/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rgb="FFFF0000"/>
      </left>
      <right style="thin">
        <color rgb="FFFF0000"/>
      </right>
      <top style="thin">
        <color theme="5" tint="-0.249977111117893"/>
      </top>
      <bottom style="thin">
        <color rgb="FFFF0000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</cellStyleXfs>
  <cellXfs count="388">
    <xf numFmtId="0" fontId="0" fillId="0" borderId="0" xfId="0"/>
    <xf numFmtId="164" fontId="0" fillId="0" borderId="0" xfId="0" applyNumberFormat="1"/>
    <xf numFmtId="0" fontId="5" fillId="0" borderId="0" xfId="0" applyFont="1"/>
    <xf numFmtId="2" fontId="0" fillId="0" borderId="0" xfId="0" applyNumberFormat="1"/>
    <xf numFmtId="0" fontId="6" fillId="0" borderId="0" xfId="0" applyFont="1"/>
    <xf numFmtId="0" fontId="0" fillId="2" borderId="0" xfId="0" applyFill="1"/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164" fontId="7" fillId="0" borderId="0" xfId="1" applyFont="1"/>
    <xf numFmtId="164" fontId="6" fillId="0" borderId="0" xfId="0" applyNumberFormat="1" applyFont="1"/>
    <xf numFmtId="0" fontId="0" fillId="3" borderId="0" xfId="0" applyFill="1"/>
    <xf numFmtId="0" fontId="0" fillId="0" borderId="0" xfId="0" applyFill="1"/>
    <xf numFmtId="2" fontId="0" fillId="2" borderId="0" xfId="0" applyNumberFormat="1" applyFill="1"/>
    <xf numFmtId="164" fontId="0" fillId="0" borderId="0" xfId="1" applyFont="1" applyFill="1"/>
    <xf numFmtId="0" fontId="0" fillId="0" borderId="6" xfId="0" applyBorder="1"/>
    <xf numFmtId="4" fontId="0" fillId="0" borderId="0" xfId="0" applyNumberFormat="1"/>
    <xf numFmtId="4" fontId="7" fillId="0" borderId="0" xfId="1" applyNumberFormat="1" applyFont="1"/>
    <xf numFmtId="4" fontId="6" fillId="0" borderId="0" xfId="0" applyNumberFormat="1" applyFont="1"/>
    <xf numFmtId="4" fontId="0" fillId="2" borderId="0" xfId="0" applyNumberFormat="1" applyFill="1"/>
    <xf numFmtId="4" fontId="1" fillId="0" borderId="0" xfId="1" applyNumberFormat="1" applyFont="1"/>
    <xf numFmtId="4" fontId="0" fillId="0" borderId="0" xfId="0" applyNumberFormat="1" applyFill="1"/>
    <xf numFmtId="165" fontId="0" fillId="0" borderId="0" xfId="1" applyNumberFormat="1" applyFont="1"/>
    <xf numFmtId="0" fontId="9" fillId="0" borderId="0" xfId="0" applyFont="1" applyAlignment="1">
      <alignment horizontal="center"/>
    </xf>
    <xf numFmtId="0" fontId="9" fillId="0" borderId="0" xfId="0" applyNumberFormat="1" applyFont="1"/>
    <xf numFmtId="0" fontId="9" fillId="0" borderId="0" xfId="0" applyNumberFormat="1" applyFont="1" applyAlignment="1">
      <alignment horizontal="center"/>
    </xf>
    <xf numFmtId="4" fontId="0" fillId="0" borderId="0" xfId="0" applyNumberFormat="1" applyFill="1" applyBorder="1"/>
    <xf numFmtId="0" fontId="0" fillId="0" borderId="0" xfId="0" applyBorder="1"/>
    <xf numFmtId="2" fontId="0" fillId="3" borderId="0" xfId="0" applyNumberFormat="1" applyFill="1"/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/>
    </xf>
    <xf numFmtId="0" fontId="2" fillId="0" borderId="0" xfId="0" applyFont="1"/>
    <xf numFmtId="49" fontId="3" fillId="4" borderId="1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164" fontId="2" fillId="5" borderId="0" xfId="1" applyFont="1" applyFill="1"/>
    <xf numFmtId="164" fontId="0" fillId="6" borderId="0" xfId="0" applyNumberFormat="1" applyFill="1"/>
    <xf numFmtId="4" fontId="0" fillId="3" borderId="0" xfId="0" applyNumberFormat="1" applyFill="1"/>
    <xf numFmtId="4" fontId="0" fillId="6" borderId="0" xfId="0" applyNumberFormat="1" applyFill="1"/>
    <xf numFmtId="2" fontId="0" fillId="6" borderId="0" xfId="0" applyNumberFormat="1" applyFill="1"/>
    <xf numFmtId="4" fontId="3" fillId="4" borderId="1" xfId="0" applyNumberFormat="1" applyFont="1" applyFill="1" applyBorder="1" applyAlignment="1">
      <alignment horizontal="center" wrapText="1"/>
    </xf>
    <xf numFmtId="4" fontId="3" fillId="4" borderId="5" xfId="0" applyNumberFormat="1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3" fillId="4" borderId="5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4" fontId="11" fillId="4" borderId="5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4" fontId="6" fillId="0" borderId="9" xfId="0" applyNumberFormat="1" applyFont="1" applyBorder="1"/>
    <xf numFmtId="0" fontId="6" fillId="0" borderId="0" xfId="0" applyFont="1" applyAlignment="1">
      <alignment horizontal="right"/>
    </xf>
    <xf numFmtId="4" fontId="6" fillId="2" borderId="9" xfId="0" applyNumberFormat="1" applyFont="1" applyFill="1" applyBorder="1"/>
    <xf numFmtId="4" fontId="6" fillId="6" borderId="9" xfId="0" applyNumberFormat="1" applyFont="1" applyFill="1" applyBorder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" fontId="3" fillId="4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" fontId="12" fillId="2" borderId="0" xfId="0" applyNumberFormat="1" applyFont="1" applyFill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" fontId="2" fillId="7" borderId="0" xfId="0" applyNumberFormat="1" applyFont="1" applyFill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" fontId="2" fillId="8" borderId="0" xfId="0" applyNumberFormat="1" applyFont="1" applyFill="1"/>
    <xf numFmtId="4" fontId="12" fillId="0" borderId="0" xfId="0" applyNumberFormat="1" applyFont="1" applyFill="1"/>
    <xf numFmtId="4" fontId="12" fillId="2" borderId="0" xfId="1" applyNumberFormat="1" applyFont="1" applyFill="1"/>
    <xf numFmtId="4" fontId="0" fillId="9" borderId="0" xfId="0" applyNumberFormat="1" applyFill="1"/>
    <xf numFmtId="4" fontId="2" fillId="2" borderId="0" xfId="0" applyNumberFormat="1" applyFont="1" applyFill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" fontId="12" fillId="0" borderId="0" xfId="1" applyNumberFormat="1" applyFont="1" applyFill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" fontId="2" fillId="10" borderId="0" xfId="0" applyNumberFormat="1" applyFont="1" applyFill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" fontId="0" fillId="7" borderId="0" xfId="0" applyNumberFormat="1" applyFill="1"/>
    <xf numFmtId="4" fontId="2" fillId="11" borderId="0" xfId="0" applyNumberFormat="1" applyFont="1" applyFill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4" fontId="6" fillId="2" borderId="0" xfId="0" applyNumberFormat="1" applyFont="1" applyFill="1"/>
    <xf numFmtId="0" fontId="0" fillId="0" borderId="7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0" xfId="0" applyNumberFormat="1" applyBorder="1"/>
    <xf numFmtId="4" fontId="0" fillId="0" borderId="12" xfId="0" applyNumberFormat="1" applyBorder="1"/>
    <xf numFmtId="4" fontId="3" fillId="4" borderId="13" xfId="0" applyNumberFormat="1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4" fontId="3" fillId="4" borderId="16" xfId="0" applyNumberFormat="1" applyFont="1" applyFill="1" applyBorder="1" applyAlignment="1">
      <alignment horizontal="center" vertical="center" wrapText="1"/>
    </xf>
    <xf numFmtId="4" fontId="3" fillId="4" borderId="14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5" fillId="0" borderId="12" xfId="0" applyFont="1" applyBorder="1"/>
    <xf numFmtId="49" fontId="3" fillId="4" borderId="15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4" fontId="0" fillId="12" borderId="0" xfId="0" applyNumberFormat="1" applyFill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Border="1"/>
    <xf numFmtId="4" fontId="0" fillId="0" borderId="19" xfId="0" applyNumberFormat="1" applyBorder="1"/>
    <xf numFmtId="4" fontId="3" fillId="4" borderId="12" xfId="0" applyNumberFormat="1" applyFont="1" applyFill="1" applyBorder="1" applyAlignment="1">
      <alignment horizontal="center" vertical="center" wrapText="1"/>
    </xf>
    <xf numFmtId="4" fontId="3" fillId="4" borderId="20" xfId="0" applyNumberFormat="1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49" fontId="3" fillId="4" borderId="24" xfId="0" applyNumberFormat="1" applyFont="1" applyFill="1" applyBorder="1" applyAlignment="1">
      <alignment horizontal="center" vertical="center" wrapText="1"/>
    </xf>
    <xf numFmtId="0" fontId="5" fillId="0" borderId="19" xfId="0" applyFont="1" applyBorder="1"/>
    <xf numFmtId="4" fontId="3" fillId="4" borderId="25" xfId="0" applyNumberFormat="1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4" fontId="0" fillId="13" borderId="0" xfId="0" applyNumberFormat="1" applyFill="1"/>
    <xf numFmtId="4" fontId="2" fillId="9" borderId="0" xfId="0" applyNumberFormat="1" applyFont="1" applyFill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" fontId="0" fillId="10" borderId="0" xfId="0" applyNumberFormat="1" applyFill="1"/>
    <xf numFmtId="4" fontId="13" fillId="0" borderId="0" xfId="0" applyNumberFormat="1" applyFont="1"/>
    <xf numFmtId="4" fontId="14" fillId="4" borderId="25" xfId="0" applyNumberFormat="1" applyFont="1" applyFill="1" applyBorder="1" applyAlignment="1">
      <alignment horizontal="center" vertical="center" wrapText="1"/>
    </xf>
    <xf numFmtId="164" fontId="15" fillId="5" borderId="0" xfId="1" applyFont="1" applyFill="1"/>
    <xf numFmtId="4" fontId="16" fillId="0" borderId="0" xfId="1" applyNumberFormat="1" applyFont="1"/>
    <xf numFmtId="0" fontId="13" fillId="0" borderId="0" xfId="0" applyFont="1"/>
    <xf numFmtId="4" fontId="15" fillId="2" borderId="9" xfId="0" applyNumberFormat="1" applyFont="1" applyFill="1" applyBorder="1"/>
    <xf numFmtId="4" fontId="15" fillId="14" borderId="0" xfId="0" applyNumberFormat="1" applyFont="1" applyFill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" fontId="12" fillId="2" borderId="26" xfId="1" applyNumberFormat="1" applyFont="1" applyFill="1" applyBorder="1" applyAlignment="1">
      <alignment horizontal="center"/>
    </xf>
    <xf numFmtId="0" fontId="0" fillId="0" borderId="0" xfId="0" applyFont="1" applyFill="1"/>
    <xf numFmtId="0" fontId="2" fillId="0" borderId="0" xfId="0" applyFont="1" applyFill="1" applyBorder="1" applyAlignment="1"/>
    <xf numFmtId="0" fontId="11" fillId="9" borderId="29" xfId="4" applyFont="1" applyFill="1" applyBorder="1" applyAlignment="1" applyProtection="1">
      <alignment horizontal="center" vertical="center" wrapText="1"/>
    </xf>
    <xf numFmtId="0" fontId="11" fillId="9" borderId="30" xfId="4" applyFont="1" applyFill="1" applyBorder="1" applyAlignment="1" applyProtection="1">
      <alignment horizontal="center" vertical="center" wrapText="1"/>
    </xf>
    <xf numFmtId="4" fontId="11" fillId="9" borderId="30" xfId="0" applyNumberFormat="1" applyFont="1" applyFill="1" applyBorder="1" applyAlignment="1">
      <alignment horizontal="center" vertical="center" wrapText="1"/>
    </xf>
    <xf numFmtId="0" fontId="0" fillId="7" borderId="31" xfId="0" applyFill="1" applyBorder="1"/>
    <xf numFmtId="0" fontId="0" fillId="7" borderId="32" xfId="0" applyFill="1" applyBorder="1"/>
    <xf numFmtId="0" fontId="18" fillId="7" borderId="32" xfId="0" applyFont="1" applyFill="1" applyBorder="1" applyAlignment="1">
      <alignment horizontal="center" vertical="center"/>
    </xf>
    <xf numFmtId="164" fontId="18" fillId="7" borderId="32" xfId="1" applyFont="1" applyFill="1" applyBorder="1" applyAlignment="1">
      <alignment horizontal="center" vertical="center"/>
    </xf>
    <xf numFmtId="164" fontId="19" fillId="7" borderId="32" xfId="1" applyFont="1" applyFill="1" applyBorder="1" applyAlignment="1">
      <alignment horizontal="center" vertical="center"/>
    </xf>
    <xf numFmtId="164" fontId="19" fillId="7" borderId="32" xfId="1" applyFont="1" applyFill="1" applyBorder="1" applyAlignment="1">
      <alignment horizontal="center"/>
    </xf>
    <xf numFmtId="164" fontId="11" fillId="7" borderId="32" xfId="1" applyFont="1" applyFill="1" applyBorder="1" applyAlignment="1">
      <alignment horizontal="center"/>
    </xf>
    <xf numFmtId="0" fontId="20" fillId="0" borderId="0" xfId="0" applyFont="1" applyFill="1"/>
    <xf numFmtId="0" fontId="0" fillId="7" borderId="33" xfId="0" applyFill="1" applyBorder="1"/>
    <xf numFmtId="0" fontId="0" fillId="7" borderId="9" xfId="0" applyFill="1" applyBorder="1"/>
    <xf numFmtId="0" fontId="18" fillId="7" borderId="9" xfId="0" applyFont="1" applyFill="1" applyBorder="1" applyAlignment="1">
      <alignment horizontal="center" vertical="center"/>
    </xf>
    <xf numFmtId="164" fontId="18" fillId="7" borderId="9" xfId="1" applyFont="1" applyFill="1" applyBorder="1" applyAlignment="1">
      <alignment horizontal="center" vertical="center"/>
    </xf>
    <xf numFmtId="164" fontId="19" fillId="7" borderId="9" xfId="1" applyFont="1" applyFill="1" applyBorder="1" applyAlignment="1">
      <alignment horizontal="center" vertical="center"/>
    </xf>
    <xf numFmtId="164" fontId="19" fillId="7" borderId="9" xfId="1" applyFont="1" applyFill="1" applyBorder="1" applyAlignment="1">
      <alignment horizontal="center"/>
    </xf>
    <xf numFmtId="164" fontId="11" fillId="7" borderId="9" xfId="1" applyFont="1" applyFill="1" applyBorder="1" applyAlignment="1">
      <alignment horizontal="center"/>
    </xf>
    <xf numFmtId="0" fontId="0" fillId="15" borderId="33" xfId="0" applyFill="1" applyBorder="1"/>
    <xf numFmtId="0" fontId="0" fillId="15" borderId="9" xfId="0" applyFill="1" applyBorder="1"/>
    <xf numFmtId="0" fontId="18" fillId="15" borderId="9" xfId="0" applyFont="1" applyFill="1" applyBorder="1" applyAlignment="1">
      <alignment horizontal="center" vertical="center"/>
    </xf>
    <xf numFmtId="164" fontId="18" fillId="15" borderId="9" xfId="1" applyFont="1" applyFill="1" applyBorder="1" applyAlignment="1">
      <alignment horizontal="center" vertical="center"/>
    </xf>
    <xf numFmtId="164" fontId="19" fillId="15" borderId="9" xfId="1" applyFont="1" applyFill="1" applyBorder="1" applyAlignment="1">
      <alignment horizontal="center" vertical="center"/>
    </xf>
    <xf numFmtId="164" fontId="19" fillId="15" borderId="9" xfId="1" applyFont="1" applyFill="1" applyBorder="1" applyAlignment="1">
      <alignment horizontal="center"/>
    </xf>
    <xf numFmtId="164" fontId="11" fillId="15" borderId="9" xfId="1" applyFont="1" applyFill="1" applyBorder="1" applyAlignment="1">
      <alignment horizontal="center"/>
    </xf>
    <xf numFmtId="0" fontId="0" fillId="6" borderId="33" xfId="0" applyFill="1" applyBorder="1"/>
    <xf numFmtId="0" fontId="0" fillId="6" borderId="9" xfId="0" applyFill="1" applyBorder="1"/>
    <xf numFmtId="0" fontId="19" fillId="6" borderId="9" xfId="0" applyFont="1" applyFill="1" applyBorder="1" applyAlignment="1">
      <alignment horizontal="center" vertical="center"/>
    </xf>
    <xf numFmtId="164" fontId="18" fillId="6" borderId="9" xfId="1" applyFont="1" applyFill="1" applyBorder="1" applyAlignment="1">
      <alignment horizontal="center" vertical="center"/>
    </xf>
    <xf numFmtId="164" fontId="19" fillId="6" borderId="9" xfId="1" applyFont="1" applyFill="1" applyBorder="1" applyAlignment="1">
      <alignment horizontal="center" vertical="center"/>
    </xf>
    <xf numFmtId="164" fontId="19" fillId="6" borderId="9" xfId="1" applyFont="1" applyFill="1" applyBorder="1" applyAlignment="1">
      <alignment horizontal="center"/>
    </xf>
    <xf numFmtId="164" fontId="11" fillId="6" borderId="9" xfId="1" applyFont="1" applyFill="1" applyBorder="1" applyAlignment="1">
      <alignment horizontal="center"/>
    </xf>
    <xf numFmtId="0" fontId="21" fillId="0" borderId="0" xfId="0" applyFont="1" applyFill="1"/>
    <xf numFmtId="0" fontId="18" fillId="6" borderId="9" xfId="0" applyFont="1" applyFill="1" applyBorder="1" applyAlignment="1">
      <alignment horizontal="center" vertical="center"/>
    </xf>
    <xf numFmtId="0" fontId="0" fillId="16" borderId="33" xfId="0" applyFill="1" applyBorder="1"/>
    <xf numFmtId="0" fontId="0" fillId="16" borderId="9" xfId="0" applyFill="1" applyBorder="1"/>
    <xf numFmtId="0" fontId="18" fillId="16" borderId="9" xfId="0" applyFont="1" applyFill="1" applyBorder="1" applyAlignment="1">
      <alignment horizontal="center" vertical="center"/>
    </xf>
    <xf numFmtId="164" fontId="18" fillId="16" borderId="9" xfId="1" applyFont="1" applyFill="1" applyBorder="1" applyAlignment="1">
      <alignment horizontal="center" vertical="center"/>
    </xf>
    <xf numFmtId="164" fontId="19" fillId="16" borderId="9" xfId="1" applyFont="1" applyFill="1" applyBorder="1" applyAlignment="1">
      <alignment horizontal="center" vertical="center"/>
    </xf>
    <xf numFmtId="164" fontId="19" fillId="16" borderId="9" xfId="1" applyFont="1" applyFill="1" applyBorder="1" applyAlignment="1">
      <alignment horizontal="center"/>
    </xf>
    <xf numFmtId="164" fontId="11" fillId="16" borderId="9" xfId="1" applyFont="1" applyFill="1" applyBorder="1" applyAlignment="1">
      <alignment horizontal="center"/>
    </xf>
    <xf numFmtId="0" fontId="19" fillId="16" borderId="9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/>
    </xf>
    <xf numFmtId="0" fontId="0" fillId="17" borderId="34" xfId="0" applyFill="1" applyBorder="1"/>
    <xf numFmtId="0" fontId="0" fillId="17" borderId="35" xfId="0" applyFill="1" applyBorder="1"/>
    <xf numFmtId="0" fontId="19" fillId="17" borderId="35" xfId="0" applyFont="1" applyFill="1" applyBorder="1" applyAlignment="1">
      <alignment horizontal="center" vertical="center"/>
    </xf>
    <xf numFmtId="164" fontId="18" fillId="17" borderId="35" xfId="1" applyFont="1" applyFill="1" applyBorder="1" applyAlignment="1">
      <alignment horizontal="center" vertical="center"/>
    </xf>
    <xf numFmtId="164" fontId="19" fillId="17" borderId="35" xfId="1" applyFont="1" applyFill="1" applyBorder="1" applyAlignment="1">
      <alignment horizontal="center" vertical="center"/>
    </xf>
    <xf numFmtId="164" fontId="19" fillId="17" borderId="35" xfId="1" applyFont="1" applyFill="1" applyBorder="1" applyAlignment="1">
      <alignment horizontal="center"/>
    </xf>
    <xf numFmtId="164" fontId="11" fillId="17" borderId="35" xfId="1" applyFont="1" applyFill="1" applyBorder="1" applyAlignment="1">
      <alignment horizontal="center"/>
    </xf>
    <xf numFmtId="166" fontId="19" fillId="18" borderId="32" xfId="0" applyNumberFormat="1" applyFont="1" applyFill="1" applyBorder="1" applyAlignment="1">
      <alignment horizontal="left"/>
    </xf>
    <xf numFmtId="166" fontId="19" fillId="0" borderId="32" xfId="0" applyNumberFormat="1" applyFont="1" applyFill="1" applyBorder="1" applyAlignment="1">
      <alignment horizontal="left"/>
    </xf>
    <xf numFmtId="0" fontId="19" fillId="0" borderId="32" xfId="0" applyFont="1" applyFill="1" applyBorder="1" applyAlignment="1">
      <alignment horizontal="left" vertical="center"/>
    </xf>
    <xf numFmtId="2" fontId="18" fillId="2" borderId="32" xfId="0" applyNumberFormat="1" applyFont="1" applyFill="1" applyBorder="1" applyAlignment="1">
      <alignment horizontal="right" vertical="center"/>
    </xf>
    <xf numFmtId="2" fontId="18" fillId="0" borderId="32" xfId="0" applyNumberFormat="1" applyFont="1" applyFill="1" applyBorder="1" applyAlignment="1">
      <alignment horizontal="right" vertical="center"/>
    </xf>
    <xf numFmtId="167" fontId="19" fillId="0" borderId="32" xfId="0" applyNumberFormat="1" applyFont="1" applyFill="1" applyBorder="1" applyAlignment="1">
      <alignment horizontal="left" vertical="center"/>
    </xf>
    <xf numFmtId="167" fontId="19" fillId="0" borderId="32" xfId="2" applyNumberFormat="1" applyFont="1" applyFill="1" applyBorder="1"/>
    <xf numFmtId="166" fontId="19" fillId="18" borderId="9" xfId="0" applyNumberFormat="1" applyFont="1" applyFill="1" applyBorder="1" applyAlignment="1">
      <alignment horizontal="left"/>
    </xf>
    <xf numFmtId="166" fontId="19" fillId="0" borderId="9" xfId="0" applyNumberFormat="1" applyFont="1" applyFill="1" applyBorder="1" applyAlignment="1">
      <alignment horizontal="left"/>
    </xf>
    <xf numFmtId="0" fontId="19" fillId="0" borderId="9" xfId="0" applyFont="1" applyFill="1" applyBorder="1" applyAlignment="1">
      <alignment horizontal="left" vertical="center"/>
    </xf>
    <xf numFmtId="2" fontId="18" fillId="2" borderId="9" xfId="0" applyNumberFormat="1" applyFont="1" applyFill="1" applyBorder="1" applyAlignment="1">
      <alignment horizontal="right" vertical="center"/>
    </xf>
    <xf numFmtId="2" fontId="18" fillId="0" borderId="9" xfId="0" applyNumberFormat="1" applyFont="1" applyFill="1" applyBorder="1" applyAlignment="1">
      <alignment horizontal="right" vertical="center"/>
    </xf>
    <xf numFmtId="167" fontId="19" fillId="0" borderId="9" xfId="0" applyNumberFormat="1" applyFont="1" applyFill="1" applyBorder="1" applyAlignment="1">
      <alignment horizontal="left" vertical="center"/>
    </xf>
    <xf numFmtId="167" fontId="19" fillId="0" borderId="9" xfId="2" applyNumberFormat="1" applyFont="1" applyFill="1" applyBorder="1"/>
    <xf numFmtId="167" fontId="22" fillId="0" borderId="9" xfId="2" applyNumberFormat="1" applyFont="1" applyFill="1" applyBorder="1"/>
    <xf numFmtId="0" fontId="18" fillId="0" borderId="9" xfId="0" applyFont="1" applyFill="1" applyBorder="1" applyAlignment="1">
      <alignment horizontal="left" vertical="center"/>
    </xf>
    <xf numFmtId="166" fontId="19" fillId="19" borderId="9" xfId="0" applyNumberFormat="1" applyFont="1" applyFill="1" applyBorder="1" applyAlignment="1">
      <alignment horizontal="left"/>
    </xf>
    <xf numFmtId="166" fontId="19" fillId="20" borderId="9" xfId="0" applyNumberFormat="1" applyFont="1" applyFill="1" applyBorder="1" applyAlignment="1">
      <alignment horizontal="left"/>
    </xf>
    <xf numFmtId="166" fontId="19" fillId="21" borderId="9" xfId="0" applyNumberFormat="1" applyFont="1" applyFill="1" applyBorder="1" applyAlignment="1">
      <alignment horizontal="left"/>
    </xf>
    <xf numFmtId="0" fontId="23" fillId="0" borderId="9" xfId="0" applyFont="1" applyFill="1" applyBorder="1"/>
    <xf numFmtId="0" fontId="24" fillId="0" borderId="9" xfId="0" applyFont="1" applyFill="1" applyBorder="1"/>
    <xf numFmtId="166" fontId="19" fillId="0" borderId="9" xfId="0" applyNumberFormat="1" applyFont="1" applyFill="1" applyBorder="1" applyAlignment="1">
      <alignment horizontal="center"/>
    </xf>
    <xf numFmtId="0" fontId="19" fillId="0" borderId="9" xfId="0" applyFont="1" applyFill="1" applyBorder="1" applyAlignment="1">
      <alignment horizontal="left"/>
    </xf>
    <xf numFmtId="0" fontId="25" fillId="0" borderId="0" xfId="0" applyFont="1" applyFill="1"/>
    <xf numFmtId="166" fontId="19" fillId="6" borderId="9" xfId="0" applyNumberFormat="1" applyFont="1" applyFill="1" applyBorder="1" applyAlignment="1">
      <alignment horizontal="left"/>
    </xf>
    <xf numFmtId="166" fontId="19" fillId="2" borderId="9" xfId="0" applyNumberFormat="1" applyFont="1" applyFill="1" applyBorder="1" applyAlignment="1">
      <alignment horizontal="left"/>
    </xf>
    <xf numFmtId="166" fontId="26" fillId="22" borderId="9" xfId="0" applyNumberFormat="1" applyFont="1" applyFill="1" applyBorder="1" applyAlignment="1">
      <alignment horizontal="left"/>
    </xf>
    <xf numFmtId="43" fontId="1" fillId="0" borderId="0" xfId="2" applyFont="1" applyFill="1"/>
    <xf numFmtId="43" fontId="20" fillId="0" borderId="0" xfId="2" applyFont="1" applyFill="1"/>
    <xf numFmtId="0" fontId="27" fillId="0" borderId="0" xfId="0" applyFont="1" applyFill="1" applyBorder="1" applyAlignment="1">
      <alignment horizontal="right"/>
    </xf>
    <xf numFmtId="0" fontId="28" fillId="0" borderId="0" xfId="0" applyFont="1" applyFill="1" applyBorder="1"/>
    <xf numFmtId="43" fontId="11" fillId="3" borderId="29" xfId="2" applyNumberFormat="1" applyFont="1" applyFill="1" applyBorder="1"/>
    <xf numFmtId="43" fontId="11" fillId="3" borderId="30" xfId="2" applyNumberFormat="1" applyFont="1" applyFill="1" applyBorder="1"/>
    <xf numFmtId="0" fontId="0" fillId="0" borderId="0" xfId="0" applyFont="1" applyFill="1" applyAlignment="1">
      <alignment horizontal="left"/>
    </xf>
    <xf numFmtId="43" fontId="29" fillId="0" borderId="0" xfId="2" applyFont="1" applyFill="1" applyBorder="1"/>
    <xf numFmtId="0" fontId="20" fillId="0" borderId="0" xfId="0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30" fillId="0" borderId="0" xfId="0" applyFont="1" applyFill="1"/>
    <xf numFmtId="9" fontId="29" fillId="0" borderId="9" xfId="3" applyFont="1" applyFill="1" applyBorder="1" applyAlignment="1">
      <alignment horizontal="center"/>
    </xf>
    <xf numFmtId="43" fontId="1" fillId="0" borderId="0" xfId="2" applyFont="1" applyFill="1" applyBorder="1"/>
    <xf numFmtId="4" fontId="0" fillId="0" borderId="0" xfId="0" applyNumberFormat="1" applyFont="1" applyFill="1" applyBorder="1"/>
    <xf numFmtId="0" fontId="0" fillId="0" borderId="0" xfId="0" applyFont="1" applyFill="1" applyBorder="1"/>
    <xf numFmtId="43" fontId="22" fillId="0" borderId="0" xfId="2" applyFont="1" applyFill="1" applyBorder="1" applyAlignment="1">
      <alignment horizontal="center" vertical="center" wrapText="1"/>
    </xf>
    <xf numFmtId="43" fontId="0" fillId="0" borderId="0" xfId="0" applyNumberFormat="1" applyFont="1" applyFill="1" applyBorder="1"/>
    <xf numFmtId="43" fontId="20" fillId="0" borderId="0" xfId="2" applyFont="1" applyFill="1" applyBorder="1"/>
    <xf numFmtId="3" fontId="19" fillId="0" borderId="9" xfId="0" applyNumberFormat="1" applyFont="1" applyFill="1" applyBorder="1"/>
    <xf numFmtId="3" fontId="0" fillId="0" borderId="0" xfId="0" applyNumberFormat="1" applyFont="1" applyFill="1" applyBorder="1"/>
    <xf numFmtId="167" fontId="0" fillId="0" borderId="0" xfId="0" applyNumberFormat="1" applyFont="1" applyFill="1" applyBorder="1"/>
    <xf numFmtId="168" fontId="0" fillId="0" borderId="0" xfId="1" applyNumberFormat="1" applyFont="1" applyFill="1" applyBorder="1"/>
    <xf numFmtId="0" fontId="0" fillId="14" borderId="31" xfId="0" applyFont="1" applyFill="1" applyBorder="1"/>
    <xf numFmtId="0" fontId="0" fillId="8" borderId="33" xfId="0" applyFont="1" applyFill="1" applyBorder="1"/>
    <xf numFmtId="0" fontId="0" fillId="6" borderId="33" xfId="0" applyFont="1" applyFill="1" applyBorder="1"/>
    <xf numFmtId="0" fontId="0" fillId="23" borderId="33" xfId="0" applyFont="1" applyFill="1" applyBorder="1"/>
    <xf numFmtId="0" fontId="0" fillId="7" borderId="33" xfId="0" applyFont="1" applyFill="1" applyBorder="1"/>
    <xf numFmtId="0" fontId="0" fillId="17" borderId="34" xfId="0" applyFont="1" applyFill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" fontId="12" fillId="2" borderId="26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" fontId="15" fillId="10" borderId="0" xfId="0" applyNumberFormat="1" applyFont="1" applyFill="1"/>
    <xf numFmtId="43" fontId="11" fillId="14" borderId="32" xfId="2" applyNumberFormat="1" applyFont="1" applyFill="1" applyBorder="1"/>
    <xf numFmtId="43" fontId="11" fillId="8" borderId="9" xfId="2" applyNumberFormat="1" applyFont="1" applyFill="1" applyBorder="1"/>
    <xf numFmtId="43" fontId="11" fillId="6" borderId="9" xfId="2" applyNumberFormat="1" applyFont="1" applyFill="1" applyBorder="1"/>
    <xf numFmtId="43" fontId="3" fillId="23" borderId="9" xfId="2" applyNumberFormat="1" applyFont="1" applyFill="1" applyBorder="1"/>
    <xf numFmtId="43" fontId="11" fillId="7" borderId="9" xfId="2" applyNumberFormat="1" applyFont="1" applyFill="1" applyBorder="1"/>
    <xf numFmtId="43" fontId="11" fillId="17" borderId="35" xfId="2" applyNumberFormat="1" applyFont="1" applyFill="1" applyBorder="1"/>
    <xf numFmtId="4" fontId="15" fillId="24" borderId="0" xfId="0" applyNumberFormat="1" applyFont="1" applyFill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Fill="1"/>
    <xf numFmtId="164" fontId="6" fillId="5" borderId="0" xfId="1" applyFont="1" applyFill="1"/>
    <xf numFmtId="4" fontId="33" fillId="0" borderId="0" xfId="0" applyNumberFormat="1" applyFont="1"/>
    <xf numFmtId="4" fontId="6" fillId="14" borderId="0" xfId="0" applyNumberFormat="1" applyFont="1" applyFill="1"/>
    <xf numFmtId="4" fontId="8" fillId="0" borderId="0" xfId="1" applyNumberFormat="1" applyFont="1"/>
    <xf numFmtId="0" fontId="33" fillId="0" borderId="0" xfId="0" applyFont="1"/>
    <xf numFmtId="0" fontId="13" fillId="0" borderId="0" xfId="0" applyFont="1" applyFill="1"/>
    <xf numFmtId="0" fontId="15" fillId="0" borderId="0" xfId="0" applyFont="1"/>
    <xf numFmtId="4" fontId="6" fillId="10" borderId="0" xfId="0" applyNumberFormat="1" applyFont="1" applyFill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" fontId="6" fillId="26" borderId="0" xfId="0" applyNumberFormat="1" applyFont="1" applyFill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" fontId="33" fillId="25" borderId="0" xfId="0" applyNumberFormat="1" applyFont="1" applyFill="1"/>
    <xf numFmtId="4" fontId="33" fillId="0" borderId="0" xfId="0" applyNumberFormat="1" applyFont="1" applyFill="1"/>
    <xf numFmtId="4" fontId="6" fillId="13" borderId="0" xfId="0" applyNumberFormat="1" applyFont="1" applyFill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" fontId="6" fillId="9" borderId="0" xfId="0" applyNumberFormat="1" applyFont="1" applyFill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" fontId="0" fillId="27" borderId="0" xfId="0" applyNumberFormat="1" applyFill="1"/>
    <xf numFmtId="2" fontId="0" fillId="27" borderId="0" xfId="0" applyNumberFormat="1" applyFill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" fontId="6" fillId="25" borderId="0" xfId="0" applyNumberFormat="1" applyFont="1" applyFill="1"/>
    <xf numFmtId="4" fontId="0" fillId="28" borderId="0" xfId="0" applyNumberFormat="1" applyFill="1"/>
    <xf numFmtId="4" fontId="2" fillId="28" borderId="0" xfId="0" applyNumberFormat="1" applyFont="1" applyFill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" fontId="6" fillId="29" borderId="0" xfId="0" applyNumberFormat="1" applyFont="1" applyFill="1"/>
    <xf numFmtId="4" fontId="0" fillId="25" borderId="0" xfId="0" applyNumberFormat="1" applyFill="1"/>
    <xf numFmtId="4" fontId="34" fillId="4" borderId="2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" fontId="12" fillId="0" borderId="0" xfId="0" applyNumberFormat="1" applyFont="1"/>
    <xf numFmtId="0" fontId="35" fillId="0" borderId="0" xfId="0" applyFont="1"/>
    <xf numFmtId="4" fontId="35" fillId="0" borderId="0" xfId="0" applyNumberFormat="1" applyFont="1"/>
    <xf numFmtId="4" fontId="36" fillId="0" borderId="0" xfId="0" applyNumberFormat="1" applyFont="1"/>
    <xf numFmtId="49" fontId="38" fillId="4" borderId="24" xfId="0" applyNumberFormat="1" applyFont="1" applyFill="1" applyBorder="1" applyAlignment="1">
      <alignment horizontal="center" vertical="center" wrapText="1"/>
    </xf>
    <xf numFmtId="0" fontId="38" fillId="4" borderId="23" xfId="0" applyFont="1" applyFill="1" applyBorder="1" applyAlignment="1">
      <alignment horizontal="center" vertical="center" wrapText="1"/>
    </xf>
    <xf numFmtId="0" fontId="38" fillId="4" borderId="17" xfId="0" applyFont="1" applyFill="1" applyBorder="1" applyAlignment="1">
      <alignment horizontal="center" vertical="center" wrapText="1"/>
    </xf>
    <xf numFmtId="4" fontId="38" fillId="4" borderId="0" xfId="0" applyNumberFormat="1" applyFont="1" applyFill="1" applyBorder="1" applyAlignment="1">
      <alignment horizontal="center" vertical="center" wrapText="1"/>
    </xf>
    <xf numFmtId="4" fontId="38" fillId="4" borderId="16" xfId="0" applyNumberFormat="1" applyFont="1" applyFill="1" applyBorder="1" applyAlignment="1">
      <alignment horizontal="center" vertical="center" wrapText="1"/>
    </xf>
    <xf numFmtId="0" fontId="38" fillId="4" borderId="22" xfId="0" applyFont="1" applyFill="1" applyBorder="1" applyAlignment="1">
      <alignment horizontal="center" vertical="center" wrapText="1"/>
    </xf>
    <xf numFmtId="0" fontId="38" fillId="4" borderId="21" xfId="0" applyFont="1" applyFill="1" applyBorder="1" applyAlignment="1">
      <alignment horizontal="center" vertical="center" wrapText="1"/>
    </xf>
    <xf numFmtId="0" fontId="38" fillId="4" borderId="14" xfId="0" applyFont="1" applyFill="1" applyBorder="1" applyAlignment="1">
      <alignment horizontal="center" vertical="center" wrapText="1"/>
    </xf>
    <xf numFmtId="0" fontId="38" fillId="4" borderId="16" xfId="0" applyFont="1" applyFill="1" applyBorder="1" applyAlignment="1">
      <alignment horizontal="center" vertical="center" wrapText="1"/>
    </xf>
    <xf numFmtId="4" fontId="38" fillId="4" borderId="14" xfId="0" applyNumberFormat="1" applyFont="1" applyFill="1" applyBorder="1" applyAlignment="1">
      <alignment horizontal="center" vertical="center" wrapText="1"/>
    </xf>
    <xf numFmtId="4" fontId="38" fillId="4" borderId="20" xfId="0" applyNumberFormat="1" applyFont="1" applyFill="1" applyBorder="1" applyAlignment="1">
      <alignment horizontal="center" vertical="center" wrapText="1"/>
    </xf>
    <xf numFmtId="4" fontId="38" fillId="4" borderId="12" xfId="0" applyNumberFormat="1" applyFont="1" applyFill="1" applyBorder="1" applyAlignment="1">
      <alignment horizontal="center" vertical="center" wrapText="1"/>
    </xf>
    <xf numFmtId="4" fontId="39" fillId="4" borderId="25" xfId="0" applyNumberFormat="1" applyFont="1" applyFill="1" applyBorder="1" applyAlignment="1">
      <alignment horizontal="center" vertical="center" wrapText="1"/>
    </xf>
    <xf numFmtId="0" fontId="38" fillId="4" borderId="25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40" fillId="0" borderId="0" xfId="0" applyFont="1" applyBorder="1"/>
    <xf numFmtId="0" fontId="40" fillId="0" borderId="19" xfId="0" applyFont="1" applyBorder="1"/>
    <xf numFmtId="4" fontId="35" fillId="0" borderId="12" xfId="0" applyNumberFormat="1" applyFont="1" applyBorder="1"/>
    <xf numFmtId="4" fontId="35" fillId="0" borderId="19" xfId="0" applyNumberFormat="1" applyFont="1" applyBorder="1"/>
    <xf numFmtId="0" fontId="36" fillId="0" borderId="0" xfId="0" applyFont="1" applyFill="1"/>
    <xf numFmtId="0" fontId="35" fillId="0" borderId="0" xfId="0" applyNumberFormat="1" applyFont="1" applyAlignment="1">
      <alignment horizontal="center"/>
    </xf>
    <xf numFmtId="4" fontId="35" fillId="25" borderId="0" xfId="0" applyNumberFormat="1" applyFont="1" applyFill="1"/>
    <xf numFmtId="4" fontId="35" fillId="10" borderId="0" xfId="0" applyNumberFormat="1" applyFont="1" applyFill="1"/>
    <xf numFmtId="4" fontId="41" fillId="2" borderId="0" xfId="0" applyNumberFormat="1" applyFont="1" applyFill="1"/>
    <xf numFmtId="2" fontId="35" fillId="0" borderId="0" xfId="0" applyNumberFormat="1" applyFont="1" applyFill="1"/>
    <xf numFmtId="2" fontId="35" fillId="27" borderId="0" xfId="0" applyNumberFormat="1" applyFont="1" applyFill="1"/>
    <xf numFmtId="164" fontId="35" fillId="6" borderId="0" xfId="0" applyNumberFormat="1" applyFont="1" applyFill="1"/>
    <xf numFmtId="0" fontId="40" fillId="0" borderId="0" xfId="0" applyFont="1" applyAlignment="1">
      <alignment horizontal="left"/>
    </xf>
    <xf numFmtId="0" fontId="42" fillId="0" borderId="0" xfId="0" applyFont="1"/>
    <xf numFmtId="0" fontId="43" fillId="0" borderId="0" xfId="0" applyFont="1"/>
    <xf numFmtId="164" fontId="43" fillId="5" borderId="0" xfId="1" applyFont="1" applyFill="1"/>
    <xf numFmtId="164" fontId="41" fillId="5" borderId="0" xfId="1" applyFont="1" applyFill="1"/>
    <xf numFmtId="0" fontId="36" fillId="0" borderId="0" xfId="0" applyFont="1"/>
    <xf numFmtId="4" fontId="44" fillId="0" borderId="0" xfId="0" applyNumberFormat="1" applyFont="1"/>
    <xf numFmtId="0" fontId="40" fillId="0" borderId="0" xfId="0" applyFont="1"/>
    <xf numFmtId="4" fontId="45" fillId="0" borderId="0" xfId="1" applyNumberFormat="1" applyFont="1" applyFill="1"/>
    <xf numFmtId="4" fontId="35" fillId="0" borderId="0" xfId="1" applyNumberFormat="1" applyFont="1"/>
    <xf numFmtId="4" fontId="35" fillId="0" borderId="0" xfId="0" applyNumberFormat="1" applyFont="1" applyFill="1"/>
    <xf numFmtId="4" fontId="35" fillId="0" borderId="0" xfId="0" applyNumberFormat="1" applyFont="1" applyBorder="1"/>
    <xf numFmtId="4" fontId="45" fillId="0" borderId="0" xfId="0" applyNumberFormat="1" applyFont="1"/>
    <xf numFmtId="4" fontId="45" fillId="0" borderId="0" xfId="0" applyNumberFormat="1" applyFont="1" applyFill="1"/>
    <xf numFmtId="4" fontId="46" fillId="0" borderId="0" xfId="1" applyNumberFormat="1" applyFont="1"/>
    <xf numFmtId="4" fontId="37" fillId="0" borderId="0" xfId="1" applyNumberFormat="1" applyFont="1"/>
    <xf numFmtId="164" fontId="46" fillId="0" borderId="0" xfId="1" applyFont="1"/>
    <xf numFmtId="0" fontId="44" fillId="0" borderId="0" xfId="0" applyFont="1"/>
    <xf numFmtId="0" fontId="41" fillId="0" borderId="0" xfId="0" applyFont="1" applyAlignment="1">
      <alignment horizontal="right"/>
    </xf>
    <xf numFmtId="4" fontId="41" fillId="0" borderId="0" xfId="0" applyNumberFormat="1" applyFont="1"/>
    <xf numFmtId="4" fontId="41" fillId="2" borderId="9" xfId="0" applyNumberFormat="1" applyFont="1" applyFill="1" applyBorder="1"/>
    <xf numFmtId="4" fontId="41" fillId="6" borderId="9" xfId="0" applyNumberFormat="1" applyFont="1" applyFill="1" applyBorder="1"/>
    <xf numFmtId="0" fontId="35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Border="1"/>
    <xf numFmtId="4" fontId="41" fillId="10" borderId="0" xfId="0" applyNumberFormat="1" applyFont="1" applyFill="1"/>
    <xf numFmtId="0" fontId="35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4" fontId="35" fillId="8" borderId="0" xfId="0" applyNumberFormat="1" applyFont="1" applyFill="1"/>
    <xf numFmtId="4" fontId="41" fillId="8" borderId="0" xfId="0" applyNumberFormat="1" applyFont="1" applyFill="1"/>
    <xf numFmtId="4" fontId="12" fillId="0" borderId="0" xfId="0" applyNumberFormat="1" applyFont="1" applyAlignment="1">
      <alignment horizontal="center"/>
    </xf>
    <xf numFmtId="4" fontId="45" fillId="0" borderId="0" xfId="1" applyNumberFormat="1" applyFont="1" applyFill="1" applyAlignment="1">
      <alignment horizontal="center"/>
    </xf>
    <xf numFmtId="4" fontId="45" fillId="0" borderId="0" xfId="0" applyNumberFormat="1" applyFont="1" applyFill="1" applyAlignment="1">
      <alignment horizontal="center"/>
    </xf>
    <xf numFmtId="4" fontId="45" fillId="0" borderId="0" xfId="0" applyNumberFormat="1" applyFont="1" applyAlignment="1">
      <alignment horizontal="center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37" fillId="0" borderId="11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8" xfId="0" applyFont="1" applyBorder="1" applyAlignment="1">
      <alignment horizontal="center"/>
    </xf>
  </cellXfs>
  <cellStyles count="5">
    <cellStyle name="Millares" xfId="2" builtinId="3"/>
    <cellStyle name="Moneda" xfId="1" builtinId="4"/>
    <cellStyle name="Normal" xfId="0" builtinId="0"/>
    <cellStyle name="Porcentaje" xfId="3" builtinId="5"/>
    <cellStyle name="TableStyleLight1" xfId="4"/>
  </cellStyles>
  <dxfs count="1">
    <dxf>
      <font>
        <b val="0"/>
        <i val="0"/>
      </font>
    </dxf>
  </dxfs>
  <tableStyles count="1" defaultTableStyle="TableStyleMedium2" defaultPivotStyle="PivotStyleLight16">
    <tableStyle name="Estilo de tabla 1" pivot="0" count="1">
      <tableStyleElement type="wholeTable" dxfId="0"/>
    </tableStyle>
  </tableStyles>
  <colors>
    <mruColors>
      <color rgb="FF00FF00"/>
      <color rgb="FFC4E01A"/>
      <color rgb="FFFFE69F"/>
      <color rgb="FFFFFF99"/>
      <color rgb="FFFFF7E1"/>
      <color rgb="FFFFF2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0</xdr:row>
      <xdr:rowOff>57150</xdr:rowOff>
    </xdr:from>
    <xdr:to>
      <xdr:col>2</xdr:col>
      <xdr:colOff>695325</xdr:colOff>
      <xdr:row>2</xdr:row>
      <xdr:rowOff>182288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" y="57150"/>
          <a:ext cx="1381125" cy="55376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224117</xdr:colOff>
      <xdr:row>0</xdr:row>
      <xdr:rowOff>33618</xdr:rowOff>
    </xdr:from>
    <xdr:to>
      <xdr:col>2</xdr:col>
      <xdr:colOff>749793</xdr:colOff>
      <xdr:row>4</xdr:row>
      <xdr:rowOff>11206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941" y="33618"/>
          <a:ext cx="1635058" cy="7620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480852</xdr:colOff>
      <xdr:row>3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33377" cy="7620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447234</xdr:colOff>
      <xdr:row>3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33377" cy="7620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447234</xdr:colOff>
      <xdr:row>3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37859" cy="7620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447234</xdr:colOff>
      <xdr:row>3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37859" cy="7620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447234</xdr:colOff>
      <xdr:row>3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37859" cy="7620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447234</xdr:colOff>
      <xdr:row>3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37859" cy="7620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447234</xdr:colOff>
      <xdr:row>3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37859" cy="7620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447234</xdr:colOff>
      <xdr:row>3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37859" cy="76200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447234</xdr:colOff>
      <xdr:row>3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37859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0</xdr:rowOff>
    </xdr:from>
    <xdr:to>
      <xdr:col>2</xdr:col>
      <xdr:colOff>619124</xdr:colOff>
      <xdr:row>2</xdr:row>
      <xdr:rowOff>162057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0"/>
          <a:ext cx="1466849" cy="590682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447234</xdr:colOff>
      <xdr:row>3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37859" cy="7620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447234</xdr:colOff>
      <xdr:row>3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37859" cy="76200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447234</xdr:colOff>
      <xdr:row>3</xdr:row>
      <xdr:rowOff>156882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1FADB45-B36C-4E19-B6CF-D44410DB3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37859" cy="76200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447234</xdr:colOff>
      <xdr:row>3</xdr:row>
      <xdr:rowOff>156882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FBCDA40-4838-4CD4-9D80-D8A06D7C0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37859" cy="756957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933450</xdr:colOff>
      <xdr:row>3</xdr:row>
      <xdr:rowOff>156499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494096-CEF5-4B64-87EA-3E41926BDB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62100" cy="727999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447234</xdr:colOff>
      <xdr:row>3</xdr:row>
      <xdr:rowOff>156882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0864C1-830E-4A1F-BD02-A9BBA4E6FC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37859" cy="756957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447234</xdr:colOff>
      <xdr:row>3</xdr:row>
      <xdr:rowOff>156882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29FA24-FA60-4AA7-AA38-345CAAD48F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37859" cy="756957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447234</xdr:colOff>
      <xdr:row>3</xdr:row>
      <xdr:rowOff>156882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B918811-C9FC-4C88-B4A1-263F4FE4B2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37859" cy="756957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447234</xdr:colOff>
      <xdr:row>3</xdr:row>
      <xdr:rowOff>156882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194B6DC-70C0-48DC-9FF2-F7A36F8954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37859" cy="756957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447234</xdr:colOff>
      <xdr:row>3</xdr:row>
      <xdr:rowOff>156882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D0A6AF4-1ADB-4147-A045-2707879F23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37859" cy="7569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266701</xdr:colOff>
      <xdr:row>0</xdr:row>
      <xdr:rowOff>9526</xdr:rowOff>
    </xdr:from>
    <xdr:to>
      <xdr:col>2</xdr:col>
      <xdr:colOff>829006</xdr:colOff>
      <xdr:row>2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1" y="9526"/>
          <a:ext cx="1667205" cy="581024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447234</xdr:colOff>
      <xdr:row>3</xdr:row>
      <xdr:rowOff>156882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203E7C3-F2D1-4497-8F0A-3F29B62C5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37859" cy="756957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447234</xdr:colOff>
      <xdr:row>3</xdr:row>
      <xdr:rowOff>156882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A95BBE-1A35-4EA6-AE13-ABBFB6484F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37859" cy="756957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447234</xdr:colOff>
      <xdr:row>3</xdr:row>
      <xdr:rowOff>156882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6901C6-421B-48BB-B942-E6D76F48F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37859" cy="756957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447234</xdr:colOff>
      <xdr:row>3</xdr:row>
      <xdr:rowOff>156882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A59FCEC-EDE8-4212-A601-28D59CD432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37859" cy="756957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447234</xdr:colOff>
      <xdr:row>3</xdr:row>
      <xdr:rowOff>56029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B478044-0159-4BCC-A085-6539E6E4A1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37859" cy="756957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447234</xdr:colOff>
      <xdr:row>3</xdr:row>
      <xdr:rowOff>156882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DBFFDA2-CB67-46A1-86C0-C86663C878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37859" cy="756957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447234</xdr:colOff>
      <xdr:row>3</xdr:row>
      <xdr:rowOff>156882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0BD0B92-1703-4FCB-B122-BD06C4740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37859" cy="756957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447234</xdr:colOff>
      <xdr:row>3</xdr:row>
      <xdr:rowOff>156882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5BC2CC8-2B9F-4FE8-98C6-1FFE8FD713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37859" cy="7569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266701</xdr:colOff>
      <xdr:row>0</xdr:row>
      <xdr:rowOff>9526</xdr:rowOff>
    </xdr:from>
    <xdr:to>
      <xdr:col>2</xdr:col>
      <xdr:colOff>829006</xdr:colOff>
      <xdr:row>3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1" y="9526"/>
          <a:ext cx="1667205" cy="5810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266701</xdr:colOff>
      <xdr:row>0</xdr:row>
      <xdr:rowOff>9526</xdr:rowOff>
    </xdr:from>
    <xdr:to>
      <xdr:col>2</xdr:col>
      <xdr:colOff>829006</xdr:colOff>
      <xdr:row>2</xdr:row>
      <xdr:rowOff>276225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1" y="9526"/>
          <a:ext cx="1667205" cy="6381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2</xdr:col>
      <xdr:colOff>590881</xdr:colOff>
      <xdr:row>2</xdr:row>
      <xdr:rowOff>169085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0"/>
          <a:ext cx="1686256" cy="59771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22861</xdr:colOff>
      <xdr:row>0</xdr:row>
      <xdr:rowOff>0</xdr:rowOff>
    </xdr:from>
    <xdr:to>
      <xdr:col>2</xdr:col>
      <xdr:colOff>942975</xdr:colOff>
      <xdr:row>3</xdr:row>
      <xdr:rowOff>159560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861" y="0"/>
          <a:ext cx="2025014" cy="77868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22861</xdr:colOff>
      <xdr:row>0</xdr:row>
      <xdr:rowOff>0</xdr:rowOff>
    </xdr:from>
    <xdr:to>
      <xdr:col>2</xdr:col>
      <xdr:colOff>866775</xdr:colOff>
      <xdr:row>3</xdr:row>
      <xdr:rowOff>185258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861" y="0"/>
          <a:ext cx="1948814" cy="80438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22861</xdr:colOff>
      <xdr:row>0</xdr:row>
      <xdr:rowOff>0</xdr:rowOff>
    </xdr:from>
    <xdr:to>
      <xdr:col>2</xdr:col>
      <xdr:colOff>866775</xdr:colOff>
      <xdr:row>4</xdr:row>
      <xdr:rowOff>42383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861" y="0"/>
          <a:ext cx="1948814" cy="80438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/Desktop/HECTOR%202016/plantilla%20personal%20cend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DO"/>
      <sheetName val="PLANTILLA 2016"/>
      <sheetName val="IMSS 2016"/>
      <sheetName val="PLANTILLA"/>
      <sheetName val="IMSS"/>
      <sheetName val="INCREMENTO 4%"/>
      <sheetName val="IMSS INCREMENTO 4%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R2">
            <v>1369.519122664329</v>
          </cell>
        </row>
        <row r="3">
          <cell r="AR3">
            <v>662.83356551598172</v>
          </cell>
        </row>
        <row r="4">
          <cell r="AR4">
            <v>963.48995974429226</v>
          </cell>
        </row>
        <row r="5">
          <cell r="AR5">
            <v>692.02350670319629</v>
          </cell>
        </row>
        <row r="6">
          <cell r="AR6">
            <v>692.02350670319629</v>
          </cell>
        </row>
        <row r="7">
          <cell r="AR7">
            <v>729.97043024657546</v>
          </cell>
        </row>
        <row r="8">
          <cell r="AR8">
            <v>642.40060668493152</v>
          </cell>
        </row>
        <row r="9">
          <cell r="AR9">
            <v>642.40060668493152</v>
          </cell>
        </row>
        <row r="10">
          <cell r="AR10">
            <v>537.31681841095883</v>
          </cell>
        </row>
        <row r="11">
          <cell r="AR11">
            <v>563.58776547945206</v>
          </cell>
        </row>
        <row r="12">
          <cell r="AR12">
            <v>680.01072321461186</v>
          </cell>
        </row>
        <row r="13">
          <cell r="AR13">
            <v>680.01072321461186</v>
          </cell>
        </row>
        <row r="14">
          <cell r="AR14">
            <v>692.02350670319629</v>
          </cell>
        </row>
        <row r="15">
          <cell r="AR15">
            <v>692.02350670319629</v>
          </cell>
        </row>
        <row r="16">
          <cell r="AR16">
            <v>692.02350670319629</v>
          </cell>
        </row>
        <row r="17">
          <cell r="AR17">
            <v>692.02350670319629</v>
          </cell>
        </row>
        <row r="18">
          <cell r="AR18">
            <v>729.97043024657546</v>
          </cell>
        </row>
        <row r="19">
          <cell r="AR19">
            <v>692.02350670319629</v>
          </cell>
        </row>
        <row r="20">
          <cell r="AR20">
            <v>692.02350670319629</v>
          </cell>
        </row>
        <row r="21">
          <cell r="AR21">
            <v>692.02350670319629</v>
          </cell>
        </row>
        <row r="22">
          <cell r="AR22">
            <v>692.02350670319629</v>
          </cell>
        </row>
        <row r="23">
          <cell r="AR23">
            <v>692.02350670319629</v>
          </cell>
        </row>
        <row r="24">
          <cell r="AR24">
            <v>692.02350670319629</v>
          </cell>
        </row>
        <row r="25">
          <cell r="AR25">
            <v>692.02350670319629</v>
          </cell>
        </row>
        <row r="26">
          <cell r="AR26">
            <v>692.02350670319629</v>
          </cell>
        </row>
        <row r="27">
          <cell r="AR27">
            <v>680.01072321461186</v>
          </cell>
        </row>
        <row r="28">
          <cell r="AR28">
            <v>692.02350670319629</v>
          </cell>
        </row>
        <row r="29">
          <cell r="AR29">
            <v>680.01072321461186</v>
          </cell>
        </row>
        <row r="30">
          <cell r="AR30">
            <v>963.48995974429226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2.bin"/><Relationship Id="rId4" Type="http://schemas.openxmlformats.org/officeDocument/2006/relationships/comments" Target="../comments1.x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R61"/>
  <sheetViews>
    <sheetView workbookViewId="0">
      <pane xSplit="3" ySplit="3" topLeftCell="E40" activePane="bottomRight" state="frozen"/>
      <selection pane="topRight" activeCell="D1" sqref="D1"/>
      <selection pane="bottomLeft" activeCell="A4" sqref="A4"/>
      <selection pane="bottomRight" activeCell="M27" sqref="M27"/>
    </sheetView>
  </sheetViews>
  <sheetFormatPr baseColWidth="10" defaultRowHeight="15" x14ac:dyDescent="0.25"/>
  <cols>
    <col min="2" max="2" width="33.42578125" customWidth="1"/>
    <col min="3" max="3" width="27" customWidth="1"/>
    <col min="4" max="4" width="19.85546875" customWidth="1"/>
    <col min="5" max="5" width="17.85546875" customWidth="1"/>
    <col min="7" max="7" width="17" customWidth="1"/>
    <col min="8" max="8" width="14.7109375" customWidth="1"/>
    <col min="12" max="12" width="17.42578125" customWidth="1"/>
    <col min="13" max="13" width="16.140625" customWidth="1"/>
    <col min="14" max="14" width="15.85546875" customWidth="1"/>
    <col min="15" max="15" width="18.85546875" customWidth="1"/>
    <col min="16" max="16" width="19.28515625" customWidth="1"/>
  </cols>
  <sheetData>
    <row r="1" spans="1:18" ht="18.75" x14ac:dyDescent="0.25">
      <c r="B1" s="6" t="s">
        <v>109</v>
      </c>
    </row>
    <row r="2" spans="1:18" ht="15.75" thickBot="1" x14ac:dyDescent="0.3">
      <c r="D2" s="367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9"/>
    </row>
    <row r="3" spans="1:18" ht="24" thickTop="1" thickBot="1" x14ac:dyDescent="0.3">
      <c r="A3" s="42" t="s">
        <v>9</v>
      </c>
      <c r="B3" s="43" t="s">
        <v>10</v>
      </c>
      <c r="C3" s="43" t="s">
        <v>0</v>
      </c>
      <c r="D3" s="43" t="s">
        <v>11</v>
      </c>
      <c r="E3" s="43" t="s">
        <v>12</v>
      </c>
      <c r="F3" s="43" t="s">
        <v>107</v>
      </c>
      <c r="G3" s="43" t="s">
        <v>13</v>
      </c>
      <c r="H3" s="43" t="s">
        <v>14</v>
      </c>
      <c r="I3" s="43" t="s">
        <v>15</v>
      </c>
      <c r="J3" s="43" t="s">
        <v>106</v>
      </c>
      <c r="K3" s="43" t="s">
        <v>16</v>
      </c>
      <c r="L3" s="43" t="s">
        <v>17</v>
      </c>
      <c r="M3" s="43" t="s">
        <v>72</v>
      </c>
      <c r="N3" s="43" t="s">
        <v>8</v>
      </c>
      <c r="O3" s="43" t="s">
        <v>18</v>
      </c>
      <c r="P3" s="43" t="s">
        <v>73</v>
      </c>
    </row>
    <row r="4" spans="1:18" ht="15.75" thickTop="1" x14ac:dyDescent="0.25">
      <c r="A4" s="2" t="s">
        <v>19</v>
      </c>
      <c r="B4" s="2" t="s">
        <v>20</v>
      </c>
      <c r="C4" s="2"/>
    </row>
    <row r="5" spans="1:18" x14ac:dyDescent="0.25">
      <c r="A5" t="s">
        <v>21</v>
      </c>
      <c r="B5" t="s">
        <v>22</v>
      </c>
      <c r="C5" t="s">
        <v>25</v>
      </c>
      <c r="D5">
        <v>16954.95</v>
      </c>
      <c r="E5">
        <f>D5</f>
        <v>16954.95</v>
      </c>
      <c r="F5" s="15">
        <v>0</v>
      </c>
      <c r="G5">
        <v>3246.93</v>
      </c>
      <c r="H5">
        <v>188.65</v>
      </c>
      <c r="I5" s="15">
        <v>0</v>
      </c>
      <c r="J5" s="15">
        <v>0</v>
      </c>
      <c r="K5" s="15">
        <v>0</v>
      </c>
      <c r="L5" s="11">
        <f>SUM(F5:K5)</f>
        <v>3435.58</v>
      </c>
      <c r="M5" s="5">
        <f>E5-L5</f>
        <v>13519.37</v>
      </c>
      <c r="N5" s="10">
        <v>1223.77</v>
      </c>
      <c r="O5" s="10">
        <v>2797.56</v>
      </c>
      <c r="P5" s="35">
        <f>SUM(N5:O5)</f>
        <v>4021.33</v>
      </c>
    </row>
    <row r="6" spans="1:18" x14ac:dyDescent="0.25">
      <c r="A6" t="s">
        <v>23</v>
      </c>
      <c r="B6" t="s">
        <v>24</v>
      </c>
      <c r="C6" t="s">
        <v>3</v>
      </c>
      <c r="D6">
        <v>4850</v>
      </c>
      <c r="E6">
        <f t="shared" ref="E6:E14" si="0">D6</f>
        <v>4850</v>
      </c>
      <c r="F6" s="15">
        <v>0</v>
      </c>
      <c r="G6">
        <v>491.69</v>
      </c>
      <c r="H6">
        <v>44.835000000000001</v>
      </c>
      <c r="I6" s="15">
        <v>0</v>
      </c>
      <c r="J6" s="15">
        <v>0</v>
      </c>
      <c r="K6" s="15">
        <v>0</v>
      </c>
      <c r="L6" s="11">
        <f>SUM(F6:K6)</f>
        <v>536.52499999999998</v>
      </c>
      <c r="M6" s="5">
        <f t="shared" ref="M6:M18" si="1">E6-L6</f>
        <v>4313.4750000000004</v>
      </c>
      <c r="N6" s="10">
        <v>480.14</v>
      </c>
      <c r="O6" s="10">
        <v>800.25</v>
      </c>
      <c r="P6" s="35">
        <f t="shared" ref="P6:P7" si="2">SUM(N6:O6)</f>
        <v>1280.3899999999999</v>
      </c>
    </row>
    <row r="7" spans="1:18" x14ac:dyDescent="0.25">
      <c r="A7" t="s">
        <v>41</v>
      </c>
      <c r="B7" t="s">
        <v>42</v>
      </c>
      <c r="C7" t="s">
        <v>2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f t="shared" ref="L7" si="3">SUM(G7:K7)</f>
        <v>0</v>
      </c>
      <c r="M7" s="18">
        <f t="shared" si="1"/>
        <v>0</v>
      </c>
      <c r="N7" s="36">
        <v>0</v>
      </c>
      <c r="O7" s="36">
        <v>0</v>
      </c>
      <c r="P7" s="35">
        <f t="shared" si="2"/>
        <v>0</v>
      </c>
    </row>
    <row r="8" spans="1:18" x14ac:dyDescent="0.25">
      <c r="A8" s="7" t="s">
        <v>26</v>
      </c>
      <c r="B8" s="30"/>
      <c r="D8" s="34">
        <f>SUM(D5:D7)</f>
        <v>21804.95</v>
      </c>
      <c r="E8" s="34">
        <f t="shared" ref="E8:P8" si="4">SUM(E5:E7)</f>
        <v>21804.95</v>
      </c>
      <c r="F8" s="34">
        <f t="shared" si="4"/>
        <v>0</v>
      </c>
      <c r="G8" s="34">
        <f t="shared" si="4"/>
        <v>3738.62</v>
      </c>
      <c r="H8" s="34">
        <f t="shared" si="4"/>
        <v>233.48500000000001</v>
      </c>
      <c r="I8" s="34">
        <f t="shared" si="4"/>
        <v>0</v>
      </c>
      <c r="J8" s="34">
        <f t="shared" si="4"/>
        <v>0</v>
      </c>
      <c r="K8" s="34">
        <f t="shared" si="4"/>
        <v>0</v>
      </c>
      <c r="L8" s="34">
        <f t="shared" si="4"/>
        <v>3972.105</v>
      </c>
      <c r="M8" s="34">
        <f t="shared" si="4"/>
        <v>17832.845000000001</v>
      </c>
      <c r="N8" s="34">
        <f t="shared" si="4"/>
        <v>1703.9099999999999</v>
      </c>
      <c r="O8" s="34">
        <f t="shared" si="4"/>
        <v>3597.81</v>
      </c>
      <c r="P8" s="34">
        <f t="shared" si="4"/>
        <v>5301.7199999999993</v>
      </c>
    </row>
    <row r="10" spans="1:18" x14ac:dyDescent="0.25">
      <c r="A10" s="2" t="s">
        <v>27</v>
      </c>
      <c r="B10" s="2" t="s">
        <v>28</v>
      </c>
      <c r="R10" s="11"/>
    </row>
    <row r="11" spans="1:18" x14ac:dyDescent="0.25">
      <c r="A11" t="s">
        <v>29</v>
      </c>
      <c r="B11" t="s">
        <v>37</v>
      </c>
      <c r="C11" t="s">
        <v>1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f>SUM(F11:K11)</f>
        <v>0</v>
      </c>
      <c r="M11" s="18">
        <f t="shared" si="1"/>
        <v>0</v>
      </c>
      <c r="N11" s="36">
        <v>0</v>
      </c>
      <c r="O11" s="36">
        <v>0</v>
      </c>
      <c r="P11" s="35">
        <f>N11+O11</f>
        <v>0</v>
      </c>
    </row>
    <row r="12" spans="1:18" x14ac:dyDescent="0.25">
      <c r="A12" t="s">
        <v>30</v>
      </c>
      <c r="B12" t="s">
        <v>38</v>
      </c>
      <c r="C12" t="s">
        <v>74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f t="shared" ref="L12:L16" si="5">SUM(F12:K12)</f>
        <v>0</v>
      </c>
      <c r="M12" s="18">
        <f t="shared" si="1"/>
        <v>0</v>
      </c>
      <c r="N12" s="36">
        <v>0</v>
      </c>
      <c r="O12" s="36">
        <v>0</v>
      </c>
      <c r="P12" s="35">
        <f>N12+O12</f>
        <v>0</v>
      </c>
    </row>
    <row r="13" spans="1:18" x14ac:dyDescent="0.25">
      <c r="A13" t="s">
        <v>31</v>
      </c>
      <c r="B13" t="s">
        <v>90</v>
      </c>
      <c r="C13" t="s">
        <v>75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f t="shared" si="5"/>
        <v>0</v>
      </c>
      <c r="M13" s="18">
        <f t="shared" si="1"/>
        <v>0</v>
      </c>
      <c r="N13" s="36">
        <v>0</v>
      </c>
      <c r="O13" s="36">
        <v>0</v>
      </c>
      <c r="P13" s="35">
        <f>N13+O13</f>
        <v>0</v>
      </c>
    </row>
    <row r="14" spans="1:18" x14ac:dyDescent="0.25">
      <c r="A14" t="s">
        <v>32</v>
      </c>
      <c r="B14" t="s">
        <v>90</v>
      </c>
      <c r="C14" t="s">
        <v>77</v>
      </c>
      <c r="D14" s="15">
        <v>0</v>
      </c>
      <c r="E14" s="15">
        <f t="shared" si="0"/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f t="shared" si="5"/>
        <v>0</v>
      </c>
      <c r="M14" s="18">
        <f t="shared" si="1"/>
        <v>0</v>
      </c>
      <c r="N14" s="36">
        <v>0</v>
      </c>
      <c r="O14" s="36">
        <v>0</v>
      </c>
      <c r="P14" s="35">
        <f>N14+O14</f>
        <v>0</v>
      </c>
    </row>
    <row r="15" spans="1:18" x14ac:dyDescent="0.25">
      <c r="A15" t="s">
        <v>33</v>
      </c>
      <c r="B15" t="s">
        <v>86</v>
      </c>
      <c r="C15" t="s">
        <v>5</v>
      </c>
      <c r="D15">
        <v>5000</v>
      </c>
      <c r="E15">
        <f>D15</f>
        <v>5000</v>
      </c>
      <c r="F15" s="15">
        <v>0</v>
      </c>
      <c r="G15">
        <v>518.57000000000005</v>
      </c>
      <c r="H15">
        <v>46.61</v>
      </c>
      <c r="I15" s="15">
        <v>0</v>
      </c>
      <c r="J15" s="15">
        <v>0</v>
      </c>
      <c r="K15" s="15">
        <v>0</v>
      </c>
      <c r="L15">
        <f t="shared" si="5"/>
        <v>565.18000000000006</v>
      </c>
      <c r="M15" s="5">
        <f t="shared" si="1"/>
        <v>4434.82</v>
      </c>
      <c r="N15" s="10">
        <v>489.36</v>
      </c>
      <c r="O15" s="10">
        <v>825</v>
      </c>
      <c r="P15" s="35">
        <f>N15+O15</f>
        <v>1314.3600000000001</v>
      </c>
    </row>
    <row r="16" spans="1:18" x14ac:dyDescent="0.25">
      <c r="A16" t="s">
        <v>34</v>
      </c>
      <c r="B16" t="s">
        <v>87</v>
      </c>
      <c r="C16" t="s">
        <v>39</v>
      </c>
      <c r="D16">
        <v>4500</v>
      </c>
      <c r="E16">
        <f t="shared" ref="E16:E17" si="6">D16</f>
        <v>4500</v>
      </c>
      <c r="F16" s="15">
        <v>0</v>
      </c>
      <c r="G16">
        <v>428.97</v>
      </c>
      <c r="H16">
        <v>40.67</v>
      </c>
      <c r="I16" s="15">
        <v>0</v>
      </c>
      <c r="J16" s="15">
        <v>0</v>
      </c>
      <c r="K16" s="15">
        <v>0</v>
      </c>
      <c r="L16">
        <f t="shared" si="5"/>
        <v>469.64000000000004</v>
      </c>
      <c r="M16" s="5">
        <f t="shared" si="1"/>
        <v>4030.36</v>
      </c>
      <c r="N16" s="10">
        <v>458.64</v>
      </c>
      <c r="O16" s="10">
        <v>742.5</v>
      </c>
      <c r="P16" s="35">
        <f t="shared" ref="P16:P18" si="7">N16+O16</f>
        <v>1201.1399999999999</v>
      </c>
    </row>
    <row r="17" spans="1:16" x14ac:dyDescent="0.25">
      <c r="A17" t="s">
        <v>35</v>
      </c>
      <c r="B17" t="s">
        <v>89</v>
      </c>
      <c r="C17" t="s">
        <v>4</v>
      </c>
      <c r="D17">
        <v>2700</v>
      </c>
      <c r="E17">
        <f t="shared" si="6"/>
        <v>2700</v>
      </c>
      <c r="F17" s="15">
        <v>0</v>
      </c>
      <c r="G17">
        <v>188.33</v>
      </c>
      <c r="H17">
        <v>19.29</v>
      </c>
      <c r="I17" s="15">
        <v>0</v>
      </c>
      <c r="J17" s="15">
        <v>0</v>
      </c>
      <c r="K17" s="15">
        <v>0</v>
      </c>
      <c r="L17">
        <f>SUM(F17:K17)</f>
        <v>207.62</v>
      </c>
      <c r="M17" s="5">
        <f t="shared" si="1"/>
        <v>2492.38</v>
      </c>
      <c r="N17" s="10">
        <v>348.07</v>
      </c>
      <c r="O17" s="10">
        <v>445.5</v>
      </c>
      <c r="P17" s="35">
        <f t="shared" si="7"/>
        <v>793.56999999999994</v>
      </c>
    </row>
    <row r="18" spans="1:16" x14ac:dyDescent="0.25">
      <c r="A18" t="s">
        <v>36</v>
      </c>
      <c r="B18" t="s">
        <v>88</v>
      </c>
      <c r="C18" t="s">
        <v>40</v>
      </c>
      <c r="D18">
        <v>3150</v>
      </c>
      <c r="E18">
        <f>SUM(D18:D18)</f>
        <v>3150</v>
      </c>
      <c r="F18" s="15">
        <v>0</v>
      </c>
      <c r="G18">
        <v>237.29</v>
      </c>
      <c r="H18">
        <v>24.64</v>
      </c>
      <c r="I18" s="15">
        <v>0</v>
      </c>
      <c r="J18" s="15">
        <v>0</v>
      </c>
      <c r="K18" s="15">
        <v>0</v>
      </c>
      <c r="L18">
        <f>SUM(F18:K18)</f>
        <v>261.93</v>
      </c>
      <c r="M18" s="5">
        <f t="shared" si="1"/>
        <v>2888.07</v>
      </c>
      <c r="N18" s="10">
        <v>375.71</v>
      </c>
      <c r="O18" s="10">
        <v>519.75</v>
      </c>
      <c r="P18" s="35">
        <f t="shared" si="7"/>
        <v>895.46</v>
      </c>
    </row>
    <row r="19" spans="1:16" x14ac:dyDescent="0.25">
      <c r="A19" s="2" t="s">
        <v>26</v>
      </c>
      <c r="D19" s="34">
        <f>SUM(D11:D18)</f>
        <v>15350</v>
      </c>
      <c r="E19" s="34">
        <f>SUM(E11:E18)</f>
        <v>15350</v>
      </c>
      <c r="F19" s="34">
        <f t="shared" ref="F19:M19" si="8">SUM(F11:F18)</f>
        <v>0</v>
      </c>
      <c r="G19" s="34">
        <f t="shared" si="8"/>
        <v>1373.16</v>
      </c>
      <c r="H19" s="34">
        <f t="shared" si="8"/>
        <v>131.20999999999998</v>
      </c>
      <c r="I19" s="34">
        <f t="shared" si="8"/>
        <v>0</v>
      </c>
      <c r="J19" s="34">
        <f t="shared" si="8"/>
        <v>0</v>
      </c>
      <c r="K19" s="34">
        <f t="shared" si="8"/>
        <v>0</v>
      </c>
      <c r="L19" s="34">
        <f t="shared" si="8"/>
        <v>1504.3700000000001</v>
      </c>
      <c r="M19" s="34">
        <f t="shared" si="8"/>
        <v>13845.630000000001</v>
      </c>
      <c r="N19" s="34">
        <f t="shared" ref="N19" si="9">SUM(N11:N18)</f>
        <v>1671.78</v>
      </c>
      <c r="O19" s="34">
        <f t="shared" ref="O19" si="10">SUM(O11:O18)</f>
        <v>2532.75</v>
      </c>
      <c r="P19" s="34">
        <f t="shared" ref="P19" si="11">SUM(P11:P18)</f>
        <v>4204.53</v>
      </c>
    </row>
    <row r="20" spans="1:16" x14ac:dyDescent="0.25">
      <c r="A20" s="2"/>
    </row>
    <row r="21" spans="1:16" x14ac:dyDescent="0.25">
      <c r="A21" s="2" t="s">
        <v>43</v>
      </c>
      <c r="B21" s="2" t="s">
        <v>44</v>
      </c>
    </row>
    <row r="22" spans="1:16" x14ac:dyDescent="0.25">
      <c r="A22" t="s">
        <v>45</v>
      </c>
      <c r="B22" t="s">
        <v>90</v>
      </c>
      <c r="C22" t="s">
        <v>6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f t="shared" ref="L22:L23" si="12">SUM(F22:K22)</f>
        <v>0</v>
      </c>
      <c r="M22" s="18">
        <v>0</v>
      </c>
      <c r="N22" s="36">
        <v>0</v>
      </c>
      <c r="O22" s="36">
        <v>0</v>
      </c>
      <c r="P22" s="35">
        <v>0</v>
      </c>
    </row>
    <row r="23" spans="1:16" x14ac:dyDescent="0.25">
      <c r="A23" t="s">
        <v>46</v>
      </c>
      <c r="B23" t="s">
        <v>91</v>
      </c>
      <c r="C23" t="s">
        <v>76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f t="shared" si="12"/>
        <v>0</v>
      </c>
      <c r="M23" s="18">
        <v>0</v>
      </c>
      <c r="N23" s="36">
        <v>0</v>
      </c>
      <c r="O23" s="36">
        <v>0</v>
      </c>
      <c r="P23" s="35">
        <v>0</v>
      </c>
    </row>
    <row r="24" spans="1:16" x14ac:dyDescent="0.25">
      <c r="A24" s="2" t="s">
        <v>26</v>
      </c>
      <c r="D24" s="34">
        <f>SUM(D22:D23)</f>
        <v>0</v>
      </c>
      <c r="E24" s="34">
        <f t="shared" ref="E24:M24" si="13">SUM(E22:E23)</f>
        <v>0</v>
      </c>
      <c r="F24" s="34">
        <f t="shared" si="13"/>
        <v>0</v>
      </c>
      <c r="G24" s="34">
        <f t="shared" si="13"/>
        <v>0</v>
      </c>
      <c r="H24" s="34">
        <f t="shared" si="13"/>
        <v>0</v>
      </c>
      <c r="I24" s="34">
        <f t="shared" si="13"/>
        <v>0</v>
      </c>
      <c r="J24" s="34">
        <f t="shared" si="13"/>
        <v>0</v>
      </c>
      <c r="K24" s="34">
        <f t="shared" si="13"/>
        <v>0</v>
      </c>
      <c r="L24" s="34">
        <f t="shared" si="13"/>
        <v>0</v>
      </c>
      <c r="M24" s="34">
        <f t="shared" si="13"/>
        <v>0</v>
      </c>
      <c r="N24" s="34">
        <f t="shared" ref="N24" si="14">SUM(N22:N23)</f>
        <v>0</v>
      </c>
      <c r="O24" s="34">
        <f t="shared" ref="O24" si="15">SUM(O22:O23)</f>
        <v>0</v>
      </c>
      <c r="P24" s="34">
        <f t="shared" ref="P24" si="16">SUM(P22:P23)</f>
        <v>0</v>
      </c>
    </row>
    <row r="26" spans="1:16" x14ac:dyDescent="0.25">
      <c r="A26" s="2" t="s">
        <v>43</v>
      </c>
      <c r="B26" s="2" t="s">
        <v>47</v>
      </c>
    </row>
    <row r="27" spans="1:16" x14ac:dyDescent="0.25">
      <c r="A27" t="s">
        <v>48</v>
      </c>
      <c r="B27" t="s">
        <v>93</v>
      </c>
      <c r="C27" t="s">
        <v>78</v>
      </c>
      <c r="D27">
        <v>5350</v>
      </c>
      <c r="E27">
        <f>D27</f>
        <v>5350</v>
      </c>
      <c r="F27" s="15">
        <v>0</v>
      </c>
      <c r="G27">
        <v>588.20000000000005</v>
      </c>
      <c r="H27">
        <v>50.77</v>
      </c>
      <c r="I27" s="15">
        <v>0</v>
      </c>
      <c r="J27" s="15">
        <v>0</v>
      </c>
      <c r="K27" s="15">
        <v>0</v>
      </c>
      <c r="L27">
        <f>SUM(F27:K27)</f>
        <v>638.97</v>
      </c>
      <c r="M27" s="5">
        <f>E27-L27</f>
        <v>4711.03</v>
      </c>
      <c r="N27" s="10">
        <v>510.86</v>
      </c>
      <c r="O27" s="10">
        <v>882.75</v>
      </c>
      <c r="P27" s="35">
        <f>N27+O27</f>
        <v>1393.6100000000001</v>
      </c>
    </row>
    <row r="28" spans="1:16" x14ac:dyDescent="0.25">
      <c r="A28" t="s">
        <v>49</v>
      </c>
      <c r="B28" t="s">
        <v>90</v>
      </c>
      <c r="C28" t="s">
        <v>79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f>SUM(F28:K28)</f>
        <v>0</v>
      </c>
      <c r="M28" s="18">
        <v>0</v>
      </c>
      <c r="N28" s="36">
        <v>0</v>
      </c>
      <c r="O28" s="36">
        <v>0</v>
      </c>
      <c r="P28" s="35">
        <v>0</v>
      </c>
    </row>
    <row r="29" spans="1:16" x14ac:dyDescent="0.25">
      <c r="A29" s="2" t="s">
        <v>26</v>
      </c>
      <c r="D29" s="34">
        <f>SUM(D27:D28)</f>
        <v>5350</v>
      </c>
      <c r="E29" s="34">
        <f t="shared" ref="E29:M29" si="17">SUM(E27:E28)</f>
        <v>5350</v>
      </c>
      <c r="F29" s="34">
        <f t="shared" si="17"/>
        <v>0</v>
      </c>
      <c r="G29" s="34">
        <f t="shared" si="17"/>
        <v>588.20000000000005</v>
      </c>
      <c r="H29" s="34">
        <f t="shared" si="17"/>
        <v>50.77</v>
      </c>
      <c r="I29" s="34">
        <f t="shared" si="17"/>
        <v>0</v>
      </c>
      <c r="J29" s="34">
        <f t="shared" si="17"/>
        <v>0</v>
      </c>
      <c r="K29" s="34">
        <f t="shared" si="17"/>
        <v>0</v>
      </c>
      <c r="L29" s="34">
        <f t="shared" si="17"/>
        <v>638.97</v>
      </c>
      <c r="M29" s="34">
        <f t="shared" si="17"/>
        <v>4711.03</v>
      </c>
      <c r="N29" s="34">
        <f t="shared" ref="N29" si="18">SUM(N27:N28)</f>
        <v>510.86</v>
      </c>
      <c r="O29" s="34">
        <f t="shared" ref="O29" si="19">SUM(O27:O28)</f>
        <v>882.75</v>
      </c>
      <c r="P29" s="34">
        <f t="shared" ref="P29" si="20">SUM(P27:P28)</f>
        <v>1393.6100000000001</v>
      </c>
    </row>
    <row r="31" spans="1:16" x14ac:dyDescent="0.25">
      <c r="A31" s="2" t="s">
        <v>50</v>
      </c>
      <c r="B31" s="2" t="s">
        <v>51</v>
      </c>
    </row>
    <row r="32" spans="1:16" x14ac:dyDescent="0.25">
      <c r="A32" t="s">
        <v>52</v>
      </c>
      <c r="B32" t="s">
        <v>97</v>
      </c>
      <c r="C32" t="s">
        <v>80</v>
      </c>
      <c r="D32">
        <v>5350</v>
      </c>
      <c r="E32">
        <f t="shared" ref="E32:E42" si="21">D32</f>
        <v>5350</v>
      </c>
      <c r="F32" s="15">
        <v>0</v>
      </c>
      <c r="G32">
        <v>588.20000000000005</v>
      </c>
      <c r="H32">
        <v>50.77</v>
      </c>
      <c r="I32" s="15">
        <v>0</v>
      </c>
      <c r="J32" s="15">
        <v>0</v>
      </c>
      <c r="K32" s="15">
        <v>0</v>
      </c>
      <c r="L32">
        <f>SUM(F32:K32)</f>
        <v>638.97</v>
      </c>
      <c r="M32" s="5">
        <f t="shared" ref="M32:M42" si="22">E32-L32</f>
        <v>4711.03</v>
      </c>
      <c r="N32" s="10">
        <v>510.86</v>
      </c>
      <c r="O32" s="10">
        <v>882.75</v>
      </c>
      <c r="P32" s="35">
        <f t="shared" ref="P32:P42" si="23">N32+O32</f>
        <v>1393.6100000000001</v>
      </c>
    </row>
    <row r="33" spans="1:16" x14ac:dyDescent="0.25">
      <c r="A33" t="s">
        <v>53</v>
      </c>
      <c r="B33" t="s">
        <v>100</v>
      </c>
      <c r="C33" t="s">
        <v>80</v>
      </c>
      <c r="D33">
        <v>5350</v>
      </c>
      <c r="E33">
        <f t="shared" si="21"/>
        <v>5350</v>
      </c>
      <c r="F33" s="15">
        <v>0</v>
      </c>
      <c r="G33">
        <v>588.20000000000005</v>
      </c>
      <c r="H33">
        <v>50.77</v>
      </c>
      <c r="I33" s="15">
        <v>0</v>
      </c>
      <c r="J33" s="15">
        <v>0</v>
      </c>
      <c r="K33" s="15">
        <v>0</v>
      </c>
      <c r="L33">
        <f t="shared" ref="L33:L42" si="24">SUM(F33:K33)</f>
        <v>638.97</v>
      </c>
      <c r="M33" s="5">
        <f t="shared" si="22"/>
        <v>4711.03</v>
      </c>
      <c r="N33" s="10">
        <v>510.86</v>
      </c>
      <c r="O33" s="10">
        <v>882.75</v>
      </c>
      <c r="P33" s="35">
        <f t="shared" si="23"/>
        <v>1393.6100000000001</v>
      </c>
    </row>
    <row r="34" spans="1:16" x14ac:dyDescent="0.25">
      <c r="A34" t="s">
        <v>54</v>
      </c>
      <c r="B34" t="s">
        <v>96</v>
      </c>
      <c r="C34" t="s">
        <v>78</v>
      </c>
      <c r="D34">
        <v>5350</v>
      </c>
      <c r="E34">
        <f t="shared" si="21"/>
        <v>5350</v>
      </c>
      <c r="F34" s="15">
        <v>0</v>
      </c>
      <c r="G34">
        <v>588.20000000000005</v>
      </c>
      <c r="H34">
        <v>50.77</v>
      </c>
      <c r="I34" s="15">
        <v>0</v>
      </c>
      <c r="J34" s="15">
        <v>0</v>
      </c>
      <c r="K34" s="15">
        <v>0</v>
      </c>
      <c r="L34">
        <f t="shared" si="24"/>
        <v>638.97</v>
      </c>
      <c r="M34" s="5">
        <f t="shared" si="22"/>
        <v>4711.03</v>
      </c>
      <c r="N34" s="10">
        <v>510.86</v>
      </c>
      <c r="O34" s="10">
        <v>882.75</v>
      </c>
      <c r="P34" s="35">
        <f t="shared" si="23"/>
        <v>1393.6100000000001</v>
      </c>
    </row>
    <row r="35" spans="1:16" x14ac:dyDescent="0.25">
      <c r="A35" t="s">
        <v>55</v>
      </c>
      <c r="B35" t="s">
        <v>104</v>
      </c>
      <c r="C35" t="s">
        <v>78</v>
      </c>
      <c r="D35">
        <v>5350</v>
      </c>
      <c r="E35">
        <f t="shared" si="21"/>
        <v>5350</v>
      </c>
      <c r="F35" s="15">
        <v>0</v>
      </c>
      <c r="G35">
        <v>588.20000000000005</v>
      </c>
      <c r="H35">
        <v>50.77</v>
      </c>
      <c r="I35" s="15">
        <v>0</v>
      </c>
      <c r="J35" s="15">
        <v>0</v>
      </c>
      <c r="K35" s="15">
        <v>0</v>
      </c>
      <c r="L35">
        <f t="shared" si="24"/>
        <v>638.97</v>
      </c>
      <c r="M35" s="5">
        <f t="shared" si="22"/>
        <v>4711.03</v>
      </c>
      <c r="N35" s="10">
        <v>510.86</v>
      </c>
      <c r="O35" s="10">
        <v>882.75</v>
      </c>
      <c r="P35" s="35">
        <f t="shared" si="23"/>
        <v>1393.6100000000001</v>
      </c>
    </row>
    <row r="36" spans="1:16" x14ac:dyDescent="0.25">
      <c r="A36" t="s">
        <v>56</v>
      </c>
      <c r="B36" t="s">
        <v>94</v>
      </c>
      <c r="C36" t="s">
        <v>81</v>
      </c>
      <c r="D36">
        <v>5350</v>
      </c>
      <c r="E36">
        <f t="shared" si="21"/>
        <v>5350</v>
      </c>
      <c r="F36" s="15">
        <v>0</v>
      </c>
      <c r="G36">
        <v>588.20000000000005</v>
      </c>
      <c r="H36">
        <v>50.77</v>
      </c>
      <c r="I36" s="15">
        <v>0</v>
      </c>
      <c r="J36" s="15">
        <v>0</v>
      </c>
      <c r="K36" s="15">
        <v>0</v>
      </c>
      <c r="L36">
        <f t="shared" si="24"/>
        <v>638.97</v>
      </c>
      <c r="M36" s="5">
        <f t="shared" si="22"/>
        <v>4711.03</v>
      </c>
      <c r="N36" s="10">
        <v>510.86</v>
      </c>
      <c r="O36" s="10">
        <v>882.75</v>
      </c>
      <c r="P36" s="35">
        <f t="shared" si="23"/>
        <v>1393.6100000000001</v>
      </c>
    </row>
    <row r="37" spans="1:16" x14ac:dyDescent="0.25">
      <c r="A37" t="s">
        <v>57</v>
      </c>
      <c r="B37" t="s">
        <v>98</v>
      </c>
      <c r="C37" t="s">
        <v>81</v>
      </c>
      <c r="D37">
        <v>5350</v>
      </c>
      <c r="E37">
        <f t="shared" si="21"/>
        <v>5350</v>
      </c>
      <c r="F37" s="15">
        <v>0</v>
      </c>
      <c r="G37">
        <v>588.20000000000005</v>
      </c>
      <c r="H37">
        <v>50.77</v>
      </c>
      <c r="I37" s="15">
        <v>0</v>
      </c>
      <c r="J37" s="15">
        <v>0</v>
      </c>
      <c r="K37" s="15">
        <v>0</v>
      </c>
      <c r="L37">
        <f t="shared" si="24"/>
        <v>638.97</v>
      </c>
      <c r="M37" s="5">
        <f t="shared" si="22"/>
        <v>4711.03</v>
      </c>
      <c r="N37" s="10">
        <v>510.86</v>
      </c>
      <c r="O37" s="10">
        <v>882.75</v>
      </c>
      <c r="P37" s="35">
        <f t="shared" si="23"/>
        <v>1393.6100000000001</v>
      </c>
    </row>
    <row r="38" spans="1:16" x14ac:dyDescent="0.25">
      <c r="A38" t="s">
        <v>58</v>
      </c>
      <c r="B38" t="s">
        <v>101</v>
      </c>
      <c r="C38" t="s">
        <v>81</v>
      </c>
      <c r="D38">
        <v>5350</v>
      </c>
      <c r="E38">
        <f t="shared" si="21"/>
        <v>5350</v>
      </c>
      <c r="F38" s="15">
        <v>0</v>
      </c>
      <c r="G38">
        <v>588.20000000000005</v>
      </c>
      <c r="H38">
        <v>50.77</v>
      </c>
      <c r="I38" s="15">
        <v>0</v>
      </c>
      <c r="J38" s="15">
        <v>0</v>
      </c>
      <c r="K38" s="15">
        <v>0</v>
      </c>
      <c r="L38">
        <f t="shared" si="24"/>
        <v>638.97</v>
      </c>
      <c r="M38" s="5">
        <f t="shared" si="22"/>
        <v>4711.03</v>
      </c>
      <c r="N38" s="10">
        <v>510.86</v>
      </c>
      <c r="O38" s="10">
        <v>882.75</v>
      </c>
      <c r="P38" s="35">
        <f t="shared" si="23"/>
        <v>1393.6100000000001</v>
      </c>
    </row>
    <row r="39" spans="1:16" x14ac:dyDescent="0.25">
      <c r="A39" t="s">
        <v>59</v>
      </c>
      <c r="B39" t="s">
        <v>95</v>
      </c>
      <c r="C39" t="s">
        <v>82</v>
      </c>
      <c r="D39">
        <v>5350</v>
      </c>
      <c r="E39">
        <f t="shared" si="21"/>
        <v>5350</v>
      </c>
      <c r="F39" s="15">
        <v>0</v>
      </c>
      <c r="G39">
        <v>588.20000000000005</v>
      </c>
      <c r="H39">
        <v>50.77</v>
      </c>
      <c r="I39" s="15">
        <v>0</v>
      </c>
      <c r="J39" s="15">
        <v>0</v>
      </c>
      <c r="K39" s="15">
        <v>0</v>
      </c>
      <c r="L39">
        <f t="shared" si="24"/>
        <v>638.97</v>
      </c>
      <c r="M39" s="5">
        <f t="shared" si="22"/>
        <v>4711.03</v>
      </c>
      <c r="N39" s="10">
        <v>510.86</v>
      </c>
      <c r="O39" s="10">
        <v>882.75</v>
      </c>
      <c r="P39" s="35">
        <f t="shared" si="23"/>
        <v>1393.6100000000001</v>
      </c>
    </row>
    <row r="40" spans="1:16" x14ac:dyDescent="0.25">
      <c r="A40" t="s">
        <v>60</v>
      </c>
      <c r="B40" t="s">
        <v>102</v>
      </c>
      <c r="C40" t="s">
        <v>82</v>
      </c>
      <c r="D40">
        <v>5350</v>
      </c>
      <c r="E40">
        <f t="shared" si="21"/>
        <v>5350</v>
      </c>
      <c r="F40" s="15">
        <v>0</v>
      </c>
      <c r="G40">
        <v>588.20000000000005</v>
      </c>
      <c r="H40">
        <v>50.77</v>
      </c>
      <c r="I40" s="15">
        <v>0</v>
      </c>
      <c r="J40" s="15">
        <v>0</v>
      </c>
      <c r="K40" s="15">
        <v>0</v>
      </c>
      <c r="L40">
        <f t="shared" si="24"/>
        <v>638.97</v>
      </c>
      <c r="M40" s="5">
        <f t="shared" si="22"/>
        <v>4711.03</v>
      </c>
      <c r="N40" s="10">
        <v>510.86</v>
      </c>
      <c r="O40" s="10">
        <v>882.75</v>
      </c>
      <c r="P40" s="35">
        <f t="shared" si="23"/>
        <v>1393.6100000000001</v>
      </c>
    </row>
    <row r="41" spans="1:16" x14ac:dyDescent="0.25">
      <c r="A41" t="s">
        <v>61</v>
      </c>
      <c r="B41" t="s">
        <v>85</v>
      </c>
      <c r="C41" t="s">
        <v>83</v>
      </c>
      <c r="D41">
        <v>5350</v>
      </c>
      <c r="E41">
        <f t="shared" si="21"/>
        <v>5350</v>
      </c>
      <c r="F41" s="15">
        <v>0</v>
      </c>
      <c r="G41">
        <v>588.20000000000005</v>
      </c>
      <c r="H41">
        <v>50.77</v>
      </c>
      <c r="I41" s="15">
        <v>0</v>
      </c>
      <c r="J41" s="15">
        <v>0</v>
      </c>
      <c r="K41" s="15">
        <v>0</v>
      </c>
      <c r="L41">
        <f t="shared" si="24"/>
        <v>638.97</v>
      </c>
      <c r="M41" s="5">
        <f t="shared" si="22"/>
        <v>4711.03</v>
      </c>
      <c r="N41" s="10">
        <v>510.86</v>
      </c>
      <c r="O41" s="10">
        <v>882.75</v>
      </c>
      <c r="P41" s="35">
        <f t="shared" si="23"/>
        <v>1393.6100000000001</v>
      </c>
    </row>
    <row r="42" spans="1:16" x14ac:dyDescent="0.25">
      <c r="A42" t="s">
        <v>62</v>
      </c>
      <c r="B42" t="s">
        <v>103</v>
      </c>
      <c r="C42" t="s">
        <v>83</v>
      </c>
      <c r="D42">
        <v>5350</v>
      </c>
      <c r="E42">
        <f t="shared" si="21"/>
        <v>5350</v>
      </c>
      <c r="F42" s="15">
        <v>0</v>
      </c>
      <c r="G42">
        <v>588.20000000000005</v>
      </c>
      <c r="H42">
        <v>50.77</v>
      </c>
      <c r="I42" s="15">
        <v>0</v>
      </c>
      <c r="J42" s="15">
        <v>0</v>
      </c>
      <c r="K42" s="15">
        <v>0</v>
      </c>
      <c r="L42">
        <f t="shared" si="24"/>
        <v>638.97</v>
      </c>
      <c r="M42" s="5">
        <f t="shared" si="22"/>
        <v>4711.03</v>
      </c>
      <c r="N42" s="10">
        <v>510.86</v>
      </c>
      <c r="O42" s="10">
        <v>882.75</v>
      </c>
      <c r="P42" s="35">
        <f t="shared" si="23"/>
        <v>1393.6100000000001</v>
      </c>
    </row>
    <row r="43" spans="1:16" x14ac:dyDescent="0.25">
      <c r="A43" s="2" t="s">
        <v>26</v>
      </c>
      <c r="D43" s="34">
        <f>SUM(D32:D42)</f>
        <v>58850</v>
      </c>
      <c r="E43" s="34">
        <f t="shared" ref="E43:M43" si="25">SUM(E32:E42)</f>
        <v>58850</v>
      </c>
      <c r="F43" s="34">
        <f t="shared" si="25"/>
        <v>0</v>
      </c>
      <c r="G43" s="34">
        <f t="shared" si="25"/>
        <v>6470.1999999999989</v>
      </c>
      <c r="H43" s="34">
        <f t="shared" si="25"/>
        <v>558.46999999999991</v>
      </c>
      <c r="I43" s="34">
        <f t="shared" si="25"/>
        <v>0</v>
      </c>
      <c r="J43" s="34">
        <f t="shared" si="25"/>
        <v>0</v>
      </c>
      <c r="K43" s="34">
        <f t="shared" si="25"/>
        <v>0</v>
      </c>
      <c r="L43" s="34">
        <f t="shared" si="25"/>
        <v>7028.6700000000019</v>
      </c>
      <c r="M43" s="34">
        <f t="shared" si="25"/>
        <v>51821.329999999994</v>
      </c>
      <c r="N43" s="34">
        <f t="shared" ref="N43" si="26">SUM(N32:N42)</f>
        <v>5619.46</v>
      </c>
      <c r="O43" s="34">
        <f t="shared" ref="O43" si="27">SUM(O32:O42)</f>
        <v>9710.25</v>
      </c>
      <c r="P43" s="34">
        <f t="shared" ref="P43" si="28">SUM(P32:P42)</f>
        <v>15329.710000000005</v>
      </c>
    </row>
    <row r="45" spans="1:16" x14ac:dyDescent="0.25">
      <c r="A45" s="2" t="s">
        <v>63</v>
      </c>
      <c r="B45" s="2" t="s">
        <v>64</v>
      </c>
    </row>
    <row r="46" spans="1:16" x14ac:dyDescent="0.25">
      <c r="A46" t="s">
        <v>65</v>
      </c>
      <c r="B46" t="s">
        <v>99</v>
      </c>
      <c r="C46" t="s">
        <v>80</v>
      </c>
      <c r="D46">
        <v>5350</v>
      </c>
      <c r="E46">
        <f>D46</f>
        <v>5350</v>
      </c>
      <c r="F46" s="15">
        <v>0</v>
      </c>
      <c r="G46">
        <v>588.20000000000005</v>
      </c>
      <c r="H46">
        <v>50.77</v>
      </c>
      <c r="I46" s="15">
        <v>0</v>
      </c>
      <c r="J46" s="15">
        <v>0</v>
      </c>
      <c r="K46" s="15">
        <v>0</v>
      </c>
      <c r="L46">
        <f>SUM(F46:K46)</f>
        <v>638.97</v>
      </c>
      <c r="M46" s="5">
        <f>E46-L46</f>
        <v>4711.03</v>
      </c>
      <c r="N46" s="10">
        <v>510.86</v>
      </c>
      <c r="O46" s="10">
        <v>882.75</v>
      </c>
      <c r="P46" s="35">
        <f t="shared" ref="P46" si="29">N46+O46</f>
        <v>1393.6100000000001</v>
      </c>
    </row>
    <row r="47" spans="1:16" x14ac:dyDescent="0.25">
      <c r="A47" s="2" t="s">
        <v>26</v>
      </c>
      <c r="D47" s="34">
        <f>D46</f>
        <v>5350</v>
      </c>
      <c r="E47" s="34">
        <f t="shared" ref="E47:M47" si="30">E46</f>
        <v>5350</v>
      </c>
      <c r="F47" s="34">
        <f t="shared" si="30"/>
        <v>0</v>
      </c>
      <c r="G47" s="34">
        <f t="shared" si="30"/>
        <v>588.20000000000005</v>
      </c>
      <c r="H47" s="34">
        <f t="shared" si="30"/>
        <v>50.77</v>
      </c>
      <c r="I47" s="34">
        <f t="shared" si="30"/>
        <v>0</v>
      </c>
      <c r="J47" s="34">
        <f t="shared" si="30"/>
        <v>0</v>
      </c>
      <c r="K47" s="34">
        <f t="shared" si="30"/>
        <v>0</v>
      </c>
      <c r="L47" s="34">
        <f t="shared" si="30"/>
        <v>638.97</v>
      </c>
      <c r="M47" s="34">
        <f t="shared" si="30"/>
        <v>4711.03</v>
      </c>
      <c r="N47" s="34">
        <f t="shared" ref="N47" si="31">N46</f>
        <v>510.86</v>
      </c>
      <c r="O47" s="34">
        <f t="shared" ref="O47" si="32">O46</f>
        <v>882.75</v>
      </c>
      <c r="P47" s="34">
        <f t="shared" ref="P47" si="33">P46</f>
        <v>1393.6100000000001</v>
      </c>
    </row>
    <row r="49" spans="1:16" x14ac:dyDescent="0.25">
      <c r="A49" s="2" t="s">
        <v>66</v>
      </c>
    </row>
    <row r="50" spans="1:16" x14ac:dyDescent="0.25">
      <c r="A50" t="s">
        <v>67</v>
      </c>
      <c r="C50" t="s">
        <v>84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f>SUM(F50:K50)</f>
        <v>0</v>
      </c>
      <c r="M50" s="15">
        <v>0</v>
      </c>
      <c r="N50" s="15">
        <v>0</v>
      </c>
      <c r="O50" s="15">
        <v>0</v>
      </c>
      <c r="P50" s="15">
        <v>0</v>
      </c>
    </row>
    <row r="51" spans="1:16" x14ac:dyDescent="0.25">
      <c r="A51" s="11" t="s">
        <v>68</v>
      </c>
      <c r="B51" s="11" t="s">
        <v>92</v>
      </c>
      <c r="C51" s="11" t="s">
        <v>7</v>
      </c>
      <c r="D51" s="11">
        <v>2000</v>
      </c>
      <c r="E51" s="11">
        <f>D51</f>
        <v>2000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f>SUM(F51:K51)</f>
        <v>0</v>
      </c>
      <c r="M51" s="13">
        <f>E51-L51</f>
        <v>2000</v>
      </c>
      <c r="N51" s="15">
        <v>0</v>
      </c>
      <c r="O51" s="15">
        <v>0</v>
      </c>
      <c r="P51" s="15">
        <v>0</v>
      </c>
    </row>
    <row r="52" spans="1:16" x14ac:dyDescent="0.25">
      <c r="A52" t="s">
        <v>69</v>
      </c>
      <c r="C52" t="s">
        <v>7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f t="shared" ref="L52:L54" si="34">SUM(F52:K52)</f>
        <v>0</v>
      </c>
      <c r="M52" s="15">
        <v>0</v>
      </c>
      <c r="N52" s="15">
        <v>0</v>
      </c>
      <c r="O52" s="15">
        <v>0</v>
      </c>
      <c r="P52" s="15">
        <v>0</v>
      </c>
    </row>
    <row r="53" spans="1:16" x14ac:dyDescent="0.25">
      <c r="A53" t="s">
        <v>70</v>
      </c>
      <c r="C53" t="s">
        <v>7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f t="shared" si="34"/>
        <v>0</v>
      </c>
      <c r="M53" s="15">
        <v>0</v>
      </c>
      <c r="N53" s="15">
        <v>0</v>
      </c>
      <c r="O53" s="15">
        <v>0</v>
      </c>
      <c r="P53" s="15">
        <v>0</v>
      </c>
    </row>
    <row r="54" spans="1:16" x14ac:dyDescent="0.25">
      <c r="A54" t="s">
        <v>71</v>
      </c>
      <c r="C54" t="s">
        <v>7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f t="shared" si="34"/>
        <v>0</v>
      </c>
      <c r="M54" s="15">
        <v>0</v>
      </c>
      <c r="N54" s="15">
        <v>0</v>
      </c>
      <c r="O54" s="15">
        <v>0</v>
      </c>
      <c r="P54" s="15">
        <v>0</v>
      </c>
    </row>
    <row r="55" spans="1:16" x14ac:dyDescent="0.25">
      <c r="A55" s="2" t="s">
        <v>26</v>
      </c>
      <c r="D55" s="8">
        <f>SUM(D50:D54)</f>
        <v>2000</v>
      </c>
      <c r="E55" s="8">
        <f t="shared" ref="E55:M55" si="35">SUM(E50:E54)</f>
        <v>2000</v>
      </c>
      <c r="F55" s="8">
        <f t="shared" si="35"/>
        <v>0</v>
      </c>
      <c r="G55" s="8">
        <f t="shared" si="35"/>
        <v>0</v>
      </c>
      <c r="H55" s="8">
        <f t="shared" si="35"/>
        <v>0</v>
      </c>
      <c r="I55" s="8">
        <f t="shared" si="35"/>
        <v>0</v>
      </c>
      <c r="J55" s="8">
        <f t="shared" si="35"/>
        <v>0</v>
      </c>
      <c r="K55" s="8">
        <f t="shared" si="35"/>
        <v>0</v>
      </c>
      <c r="L55" s="8">
        <f t="shared" si="35"/>
        <v>0</v>
      </c>
      <c r="M55" s="8">
        <f t="shared" si="35"/>
        <v>2000</v>
      </c>
      <c r="N55" s="8">
        <f t="shared" ref="N55" si="36">SUM(N50:N54)</f>
        <v>0</v>
      </c>
      <c r="O55" s="8">
        <f t="shared" ref="O55" si="37">SUM(O50:O54)</f>
        <v>0</v>
      </c>
      <c r="P55" s="8">
        <f t="shared" ref="P55" si="38">SUM(P50:P54)</f>
        <v>0</v>
      </c>
    </row>
    <row r="58" spans="1:16" ht="18.75" x14ac:dyDescent="0.3">
      <c r="C58" s="4" t="s">
        <v>105</v>
      </c>
      <c r="D58" s="9">
        <f>D8+D19+D24+D29+D43+D47+D55</f>
        <v>108704.95</v>
      </c>
      <c r="E58" s="9">
        <f>E8+E19+E24+E29+E43+E47+E55</f>
        <v>108704.95</v>
      </c>
      <c r="F58" s="9">
        <f t="shared" ref="F58:P58" si="39">F8+F19+F24+F29+F43+F47+F55</f>
        <v>0</v>
      </c>
      <c r="G58" s="9">
        <f t="shared" si="39"/>
        <v>12758.38</v>
      </c>
      <c r="H58" s="9">
        <f t="shared" si="39"/>
        <v>1024.7049999999999</v>
      </c>
      <c r="I58" s="9">
        <f t="shared" si="39"/>
        <v>0</v>
      </c>
      <c r="J58" s="9">
        <f t="shared" si="39"/>
        <v>0</v>
      </c>
      <c r="K58" s="9">
        <f t="shared" si="39"/>
        <v>0</v>
      </c>
      <c r="L58" s="9">
        <f t="shared" si="39"/>
        <v>13783.085000000001</v>
      </c>
      <c r="M58" s="9">
        <f t="shared" si="39"/>
        <v>94921.864999999991</v>
      </c>
      <c r="N58" s="9">
        <f t="shared" si="39"/>
        <v>10016.870000000001</v>
      </c>
      <c r="O58" s="9">
        <f t="shared" si="39"/>
        <v>17606.309999999998</v>
      </c>
      <c r="P58" s="9">
        <f t="shared" si="39"/>
        <v>27623.180000000008</v>
      </c>
    </row>
    <row r="61" spans="1:16" x14ac:dyDescent="0.25">
      <c r="B61" s="33"/>
    </row>
  </sheetData>
  <mergeCells count="1">
    <mergeCell ref="D2:P2"/>
  </mergeCells>
  <pageMargins left="0.7" right="0.7" top="0.75" bottom="0.75" header="0.3" footer="0.3"/>
  <pageSetup orientation="portrait" verticalDpi="0" r:id="rId1"/>
  <ignoredErrors>
    <ignoredError sqref="L22:L23 L28 L50 L52:L54 L7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59"/>
  <sheetViews>
    <sheetView workbookViewId="0">
      <pane xSplit="4" ySplit="4" topLeftCell="J32" activePane="bottomRight" state="frozen"/>
      <selection pane="topRight" activeCell="E1" sqref="E1"/>
      <selection pane="bottomLeft" activeCell="A4" sqref="A4"/>
      <selection pane="bottomRight" activeCell="P47" sqref="P47"/>
    </sheetView>
  </sheetViews>
  <sheetFormatPr baseColWidth="10" defaultRowHeight="15" x14ac:dyDescent="0.25"/>
  <cols>
    <col min="2" max="2" width="16.5703125" customWidth="1"/>
    <col min="3" max="3" width="34.140625" customWidth="1"/>
    <col min="4" max="4" width="29.85546875" customWidth="1"/>
    <col min="5" max="5" width="18.42578125" customWidth="1"/>
    <col min="6" max="7" width="11.42578125" customWidth="1"/>
    <col min="8" max="8" width="21.28515625" customWidth="1"/>
    <col min="9" max="9" width="11.42578125" customWidth="1"/>
    <col min="10" max="10" width="14.5703125" customWidth="1"/>
    <col min="11" max="11" width="13.42578125" customWidth="1"/>
    <col min="12" max="13" width="11.42578125" customWidth="1"/>
    <col min="14" max="14" width="14" customWidth="1"/>
    <col min="15" max="15" width="18.5703125" customWidth="1"/>
    <col min="16" max="16" width="16.85546875" customWidth="1"/>
    <col min="17" max="17" width="14" customWidth="1"/>
    <col min="18" max="18" width="15.7109375" customWidth="1"/>
    <col min="19" max="19" width="17" customWidth="1"/>
  </cols>
  <sheetData>
    <row r="2" spans="1:19" ht="18.75" x14ac:dyDescent="0.25">
      <c r="C2" s="372" t="s">
        <v>155</v>
      </c>
      <c r="D2" s="372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9" ht="15.75" thickBot="1" x14ac:dyDescent="0.3">
      <c r="E3" s="367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9"/>
    </row>
    <row r="4" spans="1:19" ht="36" thickTop="1" thickBot="1" x14ac:dyDescent="0.3">
      <c r="B4" s="31" t="s">
        <v>9</v>
      </c>
      <c r="C4" s="32" t="s">
        <v>10</v>
      </c>
      <c r="D4" s="32" t="s">
        <v>0</v>
      </c>
      <c r="E4" s="39" t="s">
        <v>11</v>
      </c>
      <c r="F4" s="39" t="s">
        <v>150</v>
      </c>
      <c r="G4" s="40" t="s">
        <v>154</v>
      </c>
      <c r="H4" s="39" t="s">
        <v>12</v>
      </c>
      <c r="I4" s="39" t="s">
        <v>107</v>
      </c>
      <c r="J4" s="39" t="s">
        <v>143</v>
      </c>
      <c r="K4" s="39" t="s">
        <v>13</v>
      </c>
      <c r="L4" s="39" t="s">
        <v>15</v>
      </c>
      <c r="M4" s="39" t="s">
        <v>106</v>
      </c>
      <c r="N4" s="39" t="s">
        <v>16</v>
      </c>
      <c r="O4" s="39" t="s">
        <v>17</v>
      </c>
      <c r="P4" s="39" t="s">
        <v>72</v>
      </c>
      <c r="Q4" s="32" t="s">
        <v>8</v>
      </c>
      <c r="R4" s="32" t="s">
        <v>18</v>
      </c>
      <c r="S4" s="41" t="s">
        <v>73</v>
      </c>
    </row>
    <row r="5" spans="1:19" ht="15.75" thickTop="1" x14ac:dyDescent="0.25">
      <c r="B5" s="2" t="s">
        <v>19</v>
      </c>
      <c r="C5" s="2" t="s">
        <v>20</v>
      </c>
      <c r="D5" s="2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9" x14ac:dyDescent="0.25">
      <c r="B6" t="s">
        <v>21</v>
      </c>
      <c r="C6" s="11" t="s">
        <v>22</v>
      </c>
      <c r="D6" t="s">
        <v>25</v>
      </c>
      <c r="E6" s="15">
        <v>16954.95</v>
      </c>
      <c r="F6" s="29">
        <v>15</v>
      </c>
      <c r="G6" s="15">
        <v>0</v>
      </c>
      <c r="H6" s="15">
        <f>E6+G6</f>
        <v>16954.95</v>
      </c>
      <c r="I6" s="15">
        <v>0</v>
      </c>
      <c r="J6" s="15">
        <v>3246.93</v>
      </c>
      <c r="K6" s="15">
        <f>J6-I6</f>
        <v>3246.93</v>
      </c>
      <c r="L6" s="15">
        <v>0</v>
      </c>
      <c r="M6" s="15">
        <v>0</v>
      </c>
      <c r="N6" s="15">
        <f>H6*0.115</f>
        <v>1949.8192500000002</v>
      </c>
      <c r="O6" s="15">
        <f>SUM(K6:N6)</f>
        <v>5196.7492499999998</v>
      </c>
      <c r="P6" s="18">
        <f>H6-O6</f>
        <v>11758.20075</v>
      </c>
      <c r="Q6" s="10">
        <v>328.67</v>
      </c>
      <c r="R6" s="10">
        <v>3390.99</v>
      </c>
      <c r="S6" s="35">
        <f>SUM(Q6:R6)</f>
        <v>3719.66</v>
      </c>
    </row>
    <row r="7" spans="1:19" x14ac:dyDescent="0.25">
      <c r="B7" t="s">
        <v>23</v>
      </c>
      <c r="C7" s="11" t="s">
        <v>24</v>
      </c>
      <c r="D7" t="s">
        <v>3</v>
      </c>
      <c r="E7" s="15">
        <v>4850</v>
      </c>
      <c r="F7" s="29">
        <v>15</v>
      </c>
      <c r="G7" s="15">
        <v>0</v>
      </c>
      <c r="H7" s="15">
        <f t="shared" ref="H7" si="0">E7+G7</f>
        <v>4850</v>
      </c>
      <c r="I7" s="15">
        <v>0</v>
      </c>
      <c r="J7" s="15">
        <v>491.69</v>
      </c>
      <c r="K7" s="15">
        <f t="shared" ref="K7:K8" si="1">J7-I7</f>
        <v>491.69</v>
      </c>
      <c r="L7" s="15">
        <v>0</v>
      </c>
      <c r="M7" s="15">
        <v>0</v>
      </c>
      <c r="N7" s="15">
        <f>H7*0.115</f>
        <v>557.75</v>
      </c>
      <c r="O7" s="15">
        <f t="shared" ref="O7:O8" si="2">SUM(K7:N7)</f>
        <v>1049.44</v>
      </c>
      <c r="P7" s="18">
        <f>H7-O7</f>
        <v>3800.56</v>
      </c>
      <c r="Q7" s="10">
        <v>253.58</v>
      </c>
      <c r="R7" s="10">
        <v>970</v>
      </c>
      <c r="S7" s="35">
        <f t="shared" ref="S7:S8" si="3">SUM(Q7:R7)</f>
        <v>1223.58</v>
      </c>
    </row>
    <row r="8" spans="1:19" x14ac:dyDescent="0.25">
      <c r="B8" t="s">
        <v>41</v>
      </c>
      <c r="C8" s="11" t="s">
        <v>42</v>
      </c>
      <c r="D8" t="s">
        <v>2</v>
      </c>
      <c r="E8" s="15">
        <v>10000</v>
      </c>
      <c r="F8" s="29">
        <v>15</v>
      </c>
      <c r="G8" s="15">
        <v>0</v>
      </c>
      <c r="H8" s="15">
        <v>10000</v>
      </c>
      <c r="I8" s="15">
        <v>0</v>
      </c>
      <c r="J8" s="15">
        <v>1581.44</v>
      </c>
      <c r="K8" s="15">
        <f t="shared" si="1"/>
        <v>1581.44</v>
      </c>
      <c r="L8" s="15">
        <v>0</v>
      </c>
      <c r="M8" s="15"/>
      <c r="N8" s="15">
        <v>1150</v>
      </c>
      <c r="O8" s="15">
        <f t="shared" si="2"/>
        <v>2731.44</v>
      </c>
      <c r="P8" s="18">
        <f>H8-O8</f>
        <v>7268.5599999999995</v>
      </c>
      <c r="Q8" s="10">
        <v>285.52999999999997</v>
      </c>
      <c r="R8" s="10">
        <v>2000</v>
      </c>
      <c r="S8" s="35">
        <f t="shared" si="3"/>
        <v>2285.5299999999997</v>
      </c>
    </row>
    <row r="9" spans="1:19" x14ac:dyDescent="0.25">
      <c r="A9" s="30"/>
      <c r="B9" s="7" t="s">
        <v>26</v>
      </c>
      <c r="C9" s="30"/>
      <c r="D9" s="30"/>
      <c r="E9" s="34">
        <f>SUM(E6:E8)</f>
        <v>31804.95</v>
      </c>
      <c r="F9" s="34">
        <v>0</v>
      </c>
      <c r="G9" s="34">
        <f t="shared" ref="G9:S9" si="4">SUM(G6:G8)</f>
        <v>0</v>
      </c>
      <c r="H9" s="34">
        <f t="shared" si="4"/>
        <v>31804.95</v>
      </c>
      <c r="I9" s="34">
        <f t="shared" si="4"/>
        <v>0</v>
      </c>
      <c r="J9" s="34">
        <f t="shared" si="4"/>
        <v>5320.0599999999995</v>
      </c>
      <c r="K9" s="34">
        <f t="shared" si="4"/>
        <v>5320.0599999999995</v>
      </c>
      <c r="L9" s="34">
        <f t="shared" si="4"/>
        <v>0</v>
      </c>
      <c r="M9" s="34">
        <f t="shared" si="4"/>
        <v>0</v>
      </c>
      <c r="N9" s="34">
        <f t="shared" si="4"/>
        <v>3657.5692500000005</v>
      </c>
      <c r="O9" s="34">
        <f t="shared" si="4"/>
        <v>8977.62925</v>
      </c>
      <c r="P9" s="34">
        <f t="shared" si="4"/>
        <v>22827.320749999999</v>
      </c>
      <c r="Q9" s="34">
        <f t="shared" si="4"/>
        <v>867.78</v>
      </c>
      <c r="R9" s="34">
        <f t="shared" si="4"/>
        <v>6360.99</v>
      </c>
      <c r="S9" s="34">
        <f t="shared" si="4"/>
        <v>7228.7699999999995</v>
      </c>
    </row>
    <row r="10" spans="1:19" x14ac:dyDescent="0.25"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9" x14ac:dyDescent="0.25">
      <c r="B11" s="2" t="s">
        <v>27</v>
      </c>
      <c r="C11" s="2" t="s">
        <v>28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9" x14ac:dyDescent="0.25">
      <c r="B12" t="s">
        <v>32</v>
      </c>
      <c r="C12" s="11" t="s">
        <v>37</v>
      </c>
      <c r="D12" t="s">
        <v>1</v>
      </c>
      <c r="E12" s="15">
        <v>10000</v>
      </c>
      <c r="F12" s="29">
        <v>15</v>
      </c>
      <c r="G12" s="15">
        <v>0</v>
      </c>
      <c r="H12" s="15">
        <f>E12-G12</f>
        <v>10000</v>
      </c>
      <c r="I12" s="15">
        <v>0</v>
      </c>
      <c r="J12" s="15">
        <v>1581.44</v>
      </c>
      <c r="K12" s="15">
        <f>J12-I12</f>
        <v>1581.44</v>
      </c>
      <c r="L12" s="15">
        <v>0</v>
      </c>
      <c r="M12" s="15">
        <v>0</v>
      </c>
      <c r="N12" s="15">
        <f>H12*0.115</f>
        <v>1150</v>
      </c>
      <c r="O12" s="15">
        <f t="shared" ref="O12:O17" si="5">SUM(K12:N12)</f>
        <v>2731.44</v>
      </c>
      <c r="P12" s="18">
        <f t="shared" ref="P12:P19" si="6">H12-O12</f>
        <v>7268.5599999999995</v>
      </c>
      <c r="Q12" s="10">
        <v>285.52999999999997</v>
      </c>
      <c r="R12" s="10">
        <v>2000</v>
      </c>
      <c r="S12" s="35">
        <f>Q12+R12</f>
        <v>2285.5299999999997</v>
      </c>
    </row>
    <row r="13" spans="1:19" x14ac:dyDescent="0.25">
      <c r="B13" t="s">
        <v>33</v>
      </c>
      <c r="C13" s="11" t="s">
        <v>38</v>
      </c>
      <c r="D13" t="s">
        <v>74</v>
      </c>
      <c r="E13" s="15">
        <v>5350</v>
      </c>
      <c r="F13" s="29">
        <v>15</v>
      </c>
      <c r="G13" s="19">
        <v>5.94</v>
      </c>
      <c r="H13" s="15">
        <f t="shared" ref="H13:H19" si="7">E13-G13</f>
        <v>5344.06</v>
      </c>
      <c r="I13" s="15">
        <v>0</v>
      </c>
      <c r="J13" s="15">
        <v>587.55999999999995</v>
      </c>
      <c r="K13" s="15">
        <f t="shared" ref="K13:K19" si="8">J13-I13</f>
        <v>587.55999999999995</v>
      </c>
      <c r="L13" s="15">
        <v>0</v>
      </c>
      <c r="M13" s="15">
        <v>0</v>
      </c>
      <c r="N13" s="15">
        <f t="shared" ref="N13:N19" si="9">H13*0.115</f>
        <v>614.56690000000003</v>
      </c>
      <c r="O13" s="15">
        <f t="shared" si="5"/>
        <v>1202.1269</v>
      </c>
      <c r="P13" s="18">
        <f t="shared" si="6"/>
        <v>4141.9331000000002</v>
      </c>
      <c r="Q13" s="10">
        <v>256.68</v>
      </c>
      <c r="R13" s="10">
        <v>1070</v>
      </c>
      <c r="S13" s="35">
        <f>Q13+R13</f>
        <v>1326.68</v>
      </c>
    </row>
    <row r="14" spans="1:19" x14ac:dyDescent="0.25">
      <c r="B14" t="s">
        <v>34</v>
      </c>
      <c r="C14" t="s">
        <v>141</v>
      </c>
      <c r="D14" t="s">
        <v>75</v>
      </c>
      <c r="E14" s="21">
        <v>5350</v>
      </c>
      <c r="F14" s="29">
        <v>15</v>
      </c>
      <c r="G14" s="3">
        <v>36.51</v>
      </c>
      <c r="H14" s="15">
        <f t="shared" si="7"/>
        <v>5313.49</v>
      </c>
      <c r="I14" s="3">
        <v>0</v>
      </c>
      <c r="J14" s="3">
        <v>584.29999999999995</v>
      </c>
      <c r="K14" s="15">
        <f t="shared" si="8"/>
        <v>584.29999999999995</v>
      </c>
      <c r="L14" s="3">
        <v>0</v>
      </c>
      <c r="M14" s="3">
        <v>0</v>
      </c>
      <c r="N14" s="15">
        <f t="shared" si="9"/>
        <v>611.05134999999996</v>
      </c>
      <c r="O14" s="15">
        <f t="shared" si="5"/>
        <v>1195.3513499999999</v>
      </c>
      <c r="P14" s="18">
        <f t="shared" si="6"/>
        <v>4118.1386499999999</v>
      </c>
      <c r="Q14" s="27">
        <v>256.68</v>
      </c>
      <c r="R14" s="10">
        <v>1070</v>
      </c>
      <c r="S14" s="35">
        <f>Q14+R14</f>
        <v>1326.68</v>
      </c>
    </row>
    <row r="15" spans="1:19" x14ac:dyDescent="0.25">
      <c r="B15" t="s">
        <v>35</v>
      </c>
      <c r="C15" t="s">
        <v>111</v>
      </c>
      <c r="D15" t="s">
        <v>77</v>
      </c>
      <c r="E15" s="15">
        <v>6000</v>
      </c>
      <c r="F15" s="29">
        <v>15</v>
      </c>
      <c r="G15" s="15">
        <v>0</v>
      </c>
      <c r="H15" s="15">
        <f t="shared" si="7"/>
        <v>6000</v>
      </c>
      <c r="I15" s="15">
        <v>0</v>
      </c>
      <c r="J15" s="15">
        <v>727.04</v>
      </c>
      <c r="K15" s="15">
        <f t="shared" si="8"/>
        <v>727.04</v>
      </c>
      <c r="L15" s="15">
        <v>0</v>
      </c>
      <c r="M15" s="15">
        <v>0</v>
      </c>
      <c r="N15" s="15">
        <f t="shared" si="9"/>
        <v>690</v>
      </c>
      <c r="O15" s="15">
        <f t="shared" si="5"/>
        <v>1417.04</v>
      </c>
      <c r="P15" s="18">
        <f t="shared" si="6"/>
        <v>4582.96</v>
      </c>
      <c r="Q15" s="10">
        <v>260.72000000000003</v>
      </c>
      <c r="R15" s="10">
        <v>1200</v>
      </c>
      <c r="S15" s="35">
        <f>Q15+R15</f>
        <v>1460.72</v>
      </c>
    </row>
    <row r="16" spans="1:19" x14ac:dyDescent="0.25">
      <c r="B16" t="s">
        <v>36</v>
      </c>
      <c r="C16" t="s">
        <v>86</v>
      </c>
      <c r="D16" t="s">
        <v>39</v>
      </c>
      <c r="E16" s="15">
        <v>4500</v>
      </c>
      <c r="F16" s="29">
        <v>15</v>
      </c>
      <c r="G16" s="15">
        <v>0</v>
      </c>
      <c r="H16" s="15">
        <f t="shared" si="7"/>
        <v>4500</v>
      </c>
      <c r="I16" s="15">
        <v>0</v>
      </c>
      <c r="J16" s="15">
        <v>428.97</v>
      </c>
      <c r="K16" s="15">
        <f t="shared" si="8"/>
        <v>428.97</v>
      </c>
      <c r="L16" s="15">
        <v>0</v>
      </c>
      <c r="M16" s="15">
        <v>0</v>
      </c>
      <c r="N16" s="15">
        <f t="shared" si="9"/>
        <v>517.5</v>
      </c>
      <c r="O16" s="15">
        <f t="shared" si="5"/>
        <v>946.47</v>
      </c>
      <c r="P16" s="18">
        <f t="shared" si="6"/>
        <v>3553.5299999999997</v>
      </c>
      <c r="Q16" s="10">
        <v>251.41</v>
      </c>
      <c r="R16" s="10">
        <v>900</v>
      </c>
      <c r="S16" s="35">
        <f>Q16+R16</f>
        <v>1151.4100000000001</v>
      </c>
    </row>
    <row r="17" spans="1:19" x14ac:dyDescent="0.25">
      <c r="B17" t="s">
        <v>115</v>
      </c>
      <c r="C17" t="s">
        <v>87</v>
      </c>
      <c r="D17" t="s">
        <v>39</v>
      </c>
      <c r="E17" s="15">
        <v>4500</v>
      </c>
      <c r="F17" s="29">
        <v>15</v>
      </c>
      <c r="G17" s="15">
        <v>0</v>
      </c>
      <c r="H17" s="15">
        <f t="shared" si="7"/>
        <v>4500</v>
      </c>
      <c r="I17" s="15">
        <v>0</v>
      </c>
      <c r="J17" s="15">
        <v>428.97</v>
      </c>
      <c r="K17" s="15">
        <f t="shared" si="8"/>
        <v>428.97</v>
      </c>
      <c r="L17" s="15">
        <v>0</v>
      </c>
      <c r="M17" s="15">
        <v>0</v>
      </c>
      <c r="N17" s="15">
        <f t="shared" si="9"/>
        <v>517.5</v>
      </c>
      <c r="O17" s="15">
        <f t="shared" si="5"/>
        <v>946.47</v>
      </c>
      <c r="P17" s="18">
        <f t="shared" si="6"/>
        <v>3553.5299999999997</v>
      </c>
      <c r="Q17" s="10">
        <v>251.41</v>
      </c>
      <c r="R17" s="10">
        <v>900</v>
      </c>
      <c r="S17" s="35">
        <f t="shared" ref="S17:S19" si="10">Q17+R17</f>
        <v>1151.4100000000001</v>
      </c>
    </row>
    <row r="18" spans="1:19" x14ac:dyDescent="0.25">
      <c r="B18" t="s">
        <v>116</v>
      </c>
      <c r="C18" t="s">
        <v>89</v>
      </c>
      <c r="D18" t="s">
        <v>4</v>
      </c>
      <c r="E18" s="15">
        <v>2700</v>
      </c>
      <c r="F18" s="29">
        <v>15</v>
      </c>
      <c r="G18" s="15">
        <v>0</v>
      </c>
      <c r="H18" s="15">
        <f t="shared" si="7"/>
        <v>2700</v>
      </c>
      <c r="I18" s="15">
        <v>147.32</v>
      </c>
      <c r="J18" s="15">
        <v>188.33</v>
      </c>
      <c r="K18" s="15">
        <f t="shared" si="8"/>
        <v>41.010000000000019</v>
      </c>
      <c r="L18" s="15">
        <v>0</v>
      </c>
      <c r="M18" s="15">
        <v>0</v>
      </c>
      <c r="N18" s="15">
        <f t="shared" si="9"/>
        <v>310.5</v>
      </c>
      <c r="O18" s="15">
        <f>SUM(K18:N18)</f>
        <v>351.51</v>
      </c>
      <c r="P18" s="18">
        <f t="shared" si="6"/>
        <v>2348.4899999999998</v>
      </c>
      <c r="Q18" s="10">
        <v>240.25</v>
      </c>
      <c r="R18" s="10">
        <v>540</v>
      </c>
      <c r="S18" s="35">
        <f t="shared" si="10"/>
        <v>780.25</v>
      </c>
    </row>
    <row r="19" spans="1:19" x14ac:dyDescent="0.25">
      <c r="B19" t="s">
        <v>117</v>
      </c>
      <c r="C19" t="s">
        <v>88</v>
      </c>
      <c r="D19" t="s">
        <v>40</v>
      </c>
      <c r="E19" s="15">
        <v>3150</v>
      </c>
      <c r="F19" s="29">
        <v>15</v>
      </c>
      <c r="G19" s="15">
        <v>0</v>
      </c>
      <c r="H19" s="15">
        <f t="shared" si="7"/>
        <v>3150</v>
      </c>
      <c r="I19" s="15">
        <v>126.77</v>
      </c>
      <c r="J19" s="15">
        <v>237.29</v>
      </c>
      <c r="K19" s="15">
        <f t="shared" si="8"/>
        <v>110.52</v>
      </c>
      <c r="L19" s="15">
        <v>0</v>
      </c>
      <c r="M19" s="15">
        <v>0</v>
      </c>
      <c r="N19" s="15">
        <f t="shared" si="9"/>
        <v>362.25</v>
      </c>
      <c r="O19" s="15">
        <f>SUM(K19:N19)</f>
        <v>472.77</v>
      </c>
      <c r="P19" s="18">
        <f t="shared" si="6"/>
        <v>2677.23</v>
      </c>
      <c r="Q19" s="10">
        <v>243.04</v>
      </c>
      <c r="R19" s="10">
        <v>630</v>
      </c>
      <c r="S19" s="35">
        <f t="shared" si="10"/>
        <v>873.04</v>
      </c>
    </row>
    <row r="20" spans="1:19" x14ac:dyDescent="0.25">
      <c r="A20" s="30"/>
      <c r="B20" s="2" t="s">
        <v>26</v>
      </c>
      <c r="C20" s="30"/>
      <c r="D20" s="30"/>
      <c r="E20" s="34">
        <f t="shared" ref="E20:S20" si="11">SUM(E12:E19)</f>
        <v>41550</v>
      </c>
      <c r="F20" s="34"/>
      <c r="G20" s="34">
        <f t="shared" si="11"/>
        <v>42.449999999999996</v>
      </c>
      <c r="H20" s="34">
        <f t="shared" si="11"/>
        <v>41507.550000000003</v>
      </c>
      <c r="I20" s="34">
        <f t="shared" si="11"/>
        <v>274.08999999999997</v>
      </c>
      <c r="J20" s="34">
        <f t="shared" si="11"/>
        <v>4763.9000000000005</v>
      </c>
      <c r="K20" s="34">
        <f t="shared" si="11"/>
        <v>4489.8100000000013</v>
      </c>
      <c r="L20" s="34">
        <f t="shared" si="11"/>
        <v>0</v>
      </c>
      <c r="M20" s="34">
        <f t="shared" si="11"/>
        <v>0</v>
      </c>
      <c r="N20" s="34">
        <f t="shared" si="11"/>
        <v>4773.3682499999995</v>
      </c>
      <c r="O20" s="34">
        <f t="shared" si="11"/>
        <v>9263.1782500000008</v>
      </c>
      <c r="P20" s="34">
        <f t="shared" si="11"/>
        <v>32244.371749999995</v>
      </c>
      <c r="Q20" s="34">
        <f t="shared" si="11"/>
        <v>2045.7200000000003</v>
      </c>
      <c r="R20" s="34">
        <f t="shared" si="11"/>
        <v>8310</v>
      </c>
      <c r="S20" s="34">
        <f t="shared" si="11"/>
        <v>10355.720000000001</v>
      </c>
    </row>
    <row r="21" spans="1:19" x14ac:dyDescent="0.25">
      <c r="B21" s="2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9" x14ac:dyDescent="0.25">
      <c r="B22" s="2" t="s">
        <v>43</v>
      </c>
      <c r="C22" s="2" t="s">
        <v>44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9" x14ac:dyDescent="0.25">
      <c r="B23" t="s">
        <v>119</v>
      </c>
      <c r="C23" t="s">
        <v>91</v>
      </c>
      <c r="D23" t="s">
        <v>76</v>
      </c>
      <c r="E23" s="15">
        <v>5350</v>
      </c>
      <c r="F23" s="29">
        <v>15</v>
      </c>
      <c r="G23" s="15">
        <v>1.69</v>
      </c>
      <c r="H23" s="15">
        <f>E23-G23</f>
        <v>5348.31</v>
      </c>
      <c r="I23" s="15">
        <v>0</v>
      </c>
      <c r="J23" s="15">
        <v>588.02</v>
      </c>
      <c r="K23" s="15">
        <f>J23-I23</f>
        <v>588.02</v>
      </c>
      <c r="L23" s="15">
        <v>0</v>
      </c>
      <c r="M23" s="15">
        <v>0</v>
      </c>
      <c r="N23" s="15">
        <f>H23*0.115</f>
        <v>615.05565000000013</v>
      </c>
      <c r="O23" s="15">
        <f>SUM(K23:N23)</f>
        <v>1203.0756500000002</v>
      </c>
      <c r="P23" s="18">
        <f>H23-O23</f>
        <v>4145.2343500000006</v>
      </c>
      <c r="Q23" s="10">
        <v>256.68</v>
      </c>
      <c r="R23" s="10">
        <v>1070</v>
      </c>
      <c r="S23" s="35">
        <f>Q23+R23</f>
        <v>1326.68</v>
      </c>
    </row>
    <row r="24" spans="1:19" x14ac:dyDescent="0.25">
      <c r="A24" s="30"/>
      <c r="B24" s="2" t="s">
        <v>26</v>
      </c>
      <c r="C24" s="30"/>
      <c r="D24" s="30"/>
      <c r="E24" s="34">
        <f>SUM(E23:E23)</f>
        <v>5350</v>
      </c>
      <c r="F24" s="34"/>
      <c r="G24" s="34">
        <f>G23</f>
        <v>1.69</v>
      </c>
      <c r="H24" s="34">
        <f t="shared" ref="H24:S24" si="12">SUM(H23:H23)</f>
        <v>5348.31</v>
      </c>
      <c r="I24" s="34">
        <f t="shared" si="12"/>
        <v>0</v>
      </c>
      <c r="J24" s="34">
        <f t="shared" si="12"/>
        <v>588.02</v>
      </c>
      <c r="K24" s="34">
        <f t="shared" si="12"/>
        <v>588.02</v>
      </c>
      <c r="L24" s="34">
        <f t="shared" si="12"/>
        <v>0</v>
      </c>
      <c r="M24" s="34">
        <f t="shared" si="12"/>
        <v>0</v>
      </c>
      <c r="N24" s="34">
        <f t="shared" si="12"/>
        <v>615.05565000000013</v>
      </c>
      <c r="O24" s="34">
        <f t="shared" si="12"/>
        <v>1203.0756500000002</v>
      </c>
      <c r="P24" s="34">
        <f t="shared" si="12"/>
        <v>4145.2343500000006</v>
      </c>
      <c r="Q24" s="34">
        <f t="shared" si="12"/>
        <v>256.68</v>
      </c>
      <c r="R24" s="34">
        <f t="shared" si="12"/>
        <v>1070</v>
      </c>
      <c r="S24" s="34">
        <f t="shared" si="12"/>
        <v>1326.68</v>
      </c>
    </row>
    <row r="25" spans="1:19" x14ac:dyDescent="0.25"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9" x14ac:dyDescent="0.25">
      <c r="B26" s="2" t="s">
        <v>50</v>
      </c>
      <c r="C26" s="2" t="s">
        <v>47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9" x14ac:dyDescent="0.25">
      <c r="B27" t="s">
        <v>120</v>
      </c>
      <c r="C27" t="s">
        <v>93</v>
      </c>
      <c r="D27" t="s">
        <v>78</v>
      </c>
      <c r="E27" s="15">
        <v>5350</v>
      </c>
      <c r="F27" s="29">
        <v>15</v>
      </c>
      <c r="G27" s="15">
        <v>0.84</v>
      </c>
      <c r="H27" s="15">
        <f>E27-G27</f>
        <v>5349.16</v>
      </c>
      <c r="I27" s="15">
        <v>0</v>
      </c>
      <c r="J27" s="15">
        <v>588.20000000000005</v>
      </c>
      <c r="K27" s="15">
        <f>J27-I27</f>
        <v>588.20000000000005</v>
      </c>
      <c r="L27" s="15">
        <v>0</v>
      </c>
      <c r="M27" s="15">
        <v>0</v>
      </c>
      <c r="N27" s="15">
        <f>H27*0.115</f>
        <v>615.15340000000003</v>
      </c>
      <c r="O27" s="15">
        <f>SUM(K27:N27)</f>
        <v>1203.3534</v>
      </c>
      <c r="P27" s="18">
        <f>H27-O27</f>
        <v>4145.8065999999999</v>
      </c>
      <c r="Q27" s="10">
        <v>256.68</v>
      </c>
      <c r="R27" s="10">
        <v>1070</v>
      </c>
      <c r="S27" s="35">
        <f>Q27+R27</f>
        <v>1326.68</v>
      </c>
    </row>
    <row r="28" spans="1:19" x14ac:dyDescent="0.25">
      <c r="B28" t="s">
        <v>121</v>
      </c>
      <c r="C28" t="s">
        <v>114</v>
      </c>
      <c r="D28" t="s">
        <v>79</v>
      </c>
      <c r="E28" s="15">
        <v>5350</v>
      </c>
      <c r="F28" s="29">
        <v>15</v>
      </c>
      <c r="G28" s="15">
        <v>0</v>
      </c>
      <c r="H28" s="15">
        <f>E28-G28</f>
        <v>5350</v>
      </c>
      <c r="I28" s="15">
        <v>0</v>
      </c>
      <c r="J28" s="15">
        <v>588.20000000000005</v>
      </c>
      <c r="K28" s="15">
        <f>J28-I28</f>
        <v>588.20000000000005</v>
      </c>
      <c r="L28" s="15">
        <v>0</v>
      </c>
      <c r="M28" s="15">
        <v>0</v>
      </c>
      <c r="N28" s="15">
        <f>H28*0.115</f>
        <v>615.25</v>
      </c>
      <c r="O28" s="15">
        <f>SUM(K28:N28)</f>
        <v>1203.45</v>
      </c>
      <c r="P28" s="18">
        <f>H28-O28</f>
        <v>4146.55</v>
      </c>
      <c r="Q28" s="10">
        <v>256.68</v>
      </c>
      <c r="R28" s="10">
        <v>1070</v>
      </c>
      <c r="S28" s="35">
        <f>Q28+R28</f>
        <v>1326.68</v>
      </c>
    </row>
    <row r="29" spans="1:19" x14ac:dyDescent="0.25">
      <c r="A29" s="30"/>
      <c r="B29" s="2" t="s">
        <v>26</v>
      </c>
      <c r="C29" s="30"/>
      <c r="D29" s="30"/>
      <c r="E29" s="34">
        <f>SUM(E27:E28)</f>
        <v>10700</v>
      </c>
      <c r="F29" s="34"/>
      <c r="G29" s="34">
        <f>SUM(G27:G28)</f>
        <v>0.84</v>
      </c>
      <c r="H29" s="34">
        <f>SUM(H27:H28)</f>
        <v>10699.16</v>
      </c>
      <c r="I29" s="34">
        <f t="shared" ref="I29:S29" si="13">SUM(I27:I28)</f>
        <v>0</v>
      </c>
      <c r="J29" s="34">
        <f t="shared" si="13"/>
        <v>1176.4000000000001</v>
      </c>
      <c r="K29" s="34">
        <f t="shared" si="13"/>
        <v>1176.4000000000001</v>
      </c>
      <c r="L29" s="34">
        <f t="shared" si="13"/>
        <v>0</v>
      </c>
      <c r="M29" s="34">
        <f t="shared" si="13"/>
        <v>0</v>
      </c>
      <c r="N29" s="34">
        <f t="shared" si="13"/>
        <v>1230.4034000000001</v>
      </c>
      <c r="O29" s="34">
        <f t="shared" si="13"/>
        <v>2406.8033999999998</v>
      </c>
      <c r="P29" s="34">
        <f t="shared" si="13"/>
        <v>8292.3565999999992</v>
      </c>
      <c r="Q29" s="34">
        <f t="shared" si="13"/>
        <v>513.36</v>
      </c>
      <c r="R29" s="34">
        <f t="shared" si="13"/>
        <v>2140</v>
      </c>
      <c r="S29" s="34">
        <f t="shared" si="13"/>
        <v>2653.36</v>
      </c>
    </row>
    <row r="30" spans="1:19" x14ac:dyDescent="0.25"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9" x14ac:dyDescent="0.25">
      <c r="B31" s="2" t="s">
        <v>63</v>
      </c>
      <c r="C31" s="2" t="s">
        <v>51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9" x14ac:dyDescent="0.25">
      <c r="B32" t="s">
        <v>122</v>
      </c>
      <c r="C32" t="s">
        <v>97</v>
      </c>
      <c r="D32" t="s">
        <v>80</v>
      </c>
      <c r="E32" s="15">
        <v>5350</v>
      </c>
      <c r="F32" s="29">
        <v>15</v>
      </c>
      <c r="G32" s="15">
        <v>0.84</v>
      </c>
      <c r="H32" s="15">
        <f>E32-G32</f>
        <v>5349.16</v>
      </c>
      <c r="I32" s="15">
        <v>0</v>
      </c>
      <c r="J32" s="15">
        <v>588.11</v>
      </c>
      <c r="K32" s="15">
        <f>J32-I32</f>
        <v>588.11</v>
      </c>
      <c r="L32" s="15">
        <v>0</v>
      </c>
      <c r="M32" s="15">
        <v>0</v>
      </c>
      <c r="N32" s="15">
        <f>H32*0.115</f>
        <v>615.15340000000003</v>
      </c>
      <c r="O32" s="15">
        <f>SUM(K32:N32)</f>
        <v>1203.2634</v>
      </c>
      <c r="P32" s="18">
        <f t="shared" ref="P32:P42" si="14">H32-O32</f>
        <v>4145.8966</v>
      </c>
      <c r="Q32" s="10">
        <v>256.68</v>
      </c>
      <c r="R32" s="10">
        <v>1070</v>
      </c>
      <c r="S32" s="35">
        <f t="shared" ref="S32:S42" si="15">Q32+R32</f>
        <v>1326.68</v>
      </c>
    </row>
    <row r="33" spans="1:19" x14ac:dyDescent="0.25">
      <c r="B33" t="s">
        <v>123</v>
      </c>
      <c r="C33" t="s">
        <v>100</v>
      </c>
      <c r="D33" t="s">
        <v>80</v>
      </c>
      <c r="E33" s="15">
        <v>5350</v>
      </c>
      <c r="F33" s="29">
        <v>15</v>
      </c>
      <c r="G33" s="15">
        <v>4.24</v>
      </c>
      <c r="H33" s="15">
        <f t="shared" ref="H33:H42" si="16">E33-G33</f>
        <v>5345.76</v>
      </c>
      <c r="I33" s="15">
        <v>0</v>
      </c>
      <c r="J33" s="15">
        <v>587.74</v>
      </c>
      <c r="K33" s="15">
        <f t="shared" ref="K33:K42" si="17">J33-I33</f>
        <v>587.74</v>
      </c>
      <c r="L33" s="15">
        <v>0</v>
      </c>
      <c r="M33" s="15">
        <v>0</v>
      </c>
      <c r="N33" s="15">
        <f t="shared" ref="N33:N42" si="18">H33*0.115</f>
        <v>614.76240000000007</v>
      </c>
      <c r="O33" s="15">
        <f t="shared" ref="O33:O42" si="19">SUM(K33:N33)</f>
        <v>1202.5024000000001</v>
      </c>
      <c r="P33" s="18">
        <f t="shared" si="14"/>
        <v>4143.2575999999999</v>
      </c>
      <c r="Q33" s="10">
        <v>256.68</v>
      </c>
      <c r="R33" s="10">
        <v>1070</v>
      </c>
      <c r="S33" s="35">
        <f t="shared" si="15"/>
        <v>1326.68</v>
      </c>
    </row>
    <row r="34" spans="1:19" x14ac:dyDescent="0.25">
      <c r="B34" t="s">
        <v>124</v>
      </c>
      <c r="C34" t="s">
        <v>96</v>
      </c>
      <c r="D34" t="s">
        <v>78</v>
      </c>
      <c r="E34" s="15">
        <v>5350</v>
      </c>
      <c r="F34" s="29">
        <v>15</v>
      </c>
      <c r="G34" s="15">
        <v>0</v>
      </c>
      <c r="H34" s="15">
        <f t="shared" si="16"/>
        <v>5350</v>
      </c>
      <c r="I34" s="15">
        <v>0</v>
      </c>
      <c r="J34" s="15">
        <v>588.20000000000005</v>
      </c>
      <c r="K34" s="15">
        <f t="shared" si="17"/>
        <v>588.20000000000005</v>
      </c>
      <c r="L34" s="15">
        <v>0</v>
      </c>
      <c r="M34" s="15">
        <v>0</v>
      </c>
      <c r="N34" s="15">
        <f t="shared" si="18"/>
        <v>615.25</v>
      </c>
      <c r="O34" s="15">
        <f t="shared" si="19"/>
        <v>1203.45</v>
      </c>
      <c r="P34" s="18">
        <f t="shared" si="14"/>
        <v>4146.55</v>
      </c>
      <c r="Q34" s="10">
        <v>256.68</v>
      </c>
      <c r="R34" s="10">
        <v>1070</v>
      </c>
      <c r="S34" s="35">
        <f t="shared" si="15"/>
        <v>1326.68</v>
      </c>
    </row>
    <row r="35" spans="1:19" x14ac:dyDescent="0.25">
      <c r="B35" t="s">
        <v>125</v>
      </c>
      <c r="C35" t="s">
        <v>104</v>
      </c>
      <c r="D35" t="s">
        <v>78</v>
      </c>
      <c r="E35" s="15">
        <v>5350</v>
      </c>
      <c r="F35" s="29">
        <v>15</v>
      </c>
      <c r="G35" s="15">
        <v>0</v>
      </c>
      <c r="H35" s="15">
        <f t="shared" si="16"/>
        <v>5350</v>
      </c>
      <c r="I35" s="15">
        <v>0</v>
      </c>
      <c r="J35" s="15">
        <v>588.20000000000005</v>
      </c>
      <c r="K35" s="15">
        <f t="shared" si="17"/>
        <v>588.20000000000005</v>
      </c>
      <c r="L35" s="15">
        <v>0</v>
      </c>
      <c r="M35" s="15">
        <v>0</v>
      </c>
      <c r="N35" s="15">
        <f t="shared" si="18"/>
        <v>615.25</v>
      </c>
      <c r="O35" s="15">
        <f t="shared" si="19"/>
        <v>1203.45</v>
      </c>
      <c r="P35" s="18">
        <f t="shared" si="14"/>
        <v>4146.55</v>
      </c>
      <c r="Q35" s="10">
        <v>256.68</v>
      </c>
      <c r="R35" s="10">
        <v>1070</v>
      </c>
      <c r="S35" s="35">
        <f t="shared" si="15"/>
        <v>1326.68</v>
      </c>
    </row>
    <row r="36" spans="1:19" x14ac:dyDescent="0.25">
      <c r="B36" t="s">
        <v>126</v>
      </c>
      <c r="C36" t="s">
        <v>94</v>
      </c>
      <c r="D36" t="s">
        <v>81</v>
      </c>
      <c r="E36" s="15">
        <v>5350</v>
      </c>
      <c r="F36" s="29">
        <v>15</v>
      </c>
      <c r="G36" s="15">
        <v>0</v>
      </c>
      <c r="H36" s="15">
        <f t="shared" si="16"/>
        <v>5350</v>
      </c>
      <c r="I36" s="15">
        <v>0</v>
      </c>
      <c r="J36" s="15">
        <v>588.20000000000005</v>
      </c>
      <c r="K36" s="15">
        <f t="shared" si="17"/>
        <v>588.20000000000005</v>
      </c>
      <c r="L36" s="15">
        <v>0</v>
      </c>
      <c r="M36" s="15">
        <v>0</v>
      </c>
      <c r="N36" s="15">
        <f t="shared" si="18"/>
        <v>615.25</v>
      </c>
      <c r="O36" s="15">
        <f t="shared" si="19"/>
        <v>1203.45</v>
      </c>
      <c r="P36" s="18">
        <f t="shared" si="14"/>
        <v>4146.55</v>
      </c>
      <c r="Q36" s="10">
        <v>256.68</v>
      </c>
      <c r="R36" s="10">
        <v>1070</v>
      </c>
      <c r="S36" s="35">
        <f t="shared" si="15"/>
        <v>1326.68</v>
      </c>
    </row>
    <row r="37" spans="1:19" x14ac:dyDescent="0.25">
      <c r="B37" t="s">
        <v>127</v>
      </c>
      <c r="C37" t="s">
        <v>98</v>
      </c>
      <c r="D37" t="s">
        <v>81</v>
      </c>
      <c r="E37" s="15">
        <v>5350</v>
      </c>
      <c r="F37" s="29">
        <v>15</v>
      </c>
      <c r="G37" s="15">
        <v>0</v>
      </c>
      <c r="H37" s="15">
        <f t="shared" si="16"/>
        <v>5350</v>
      </c>
      <c r="I37" s="15">
        <v>0</v>
      </c>
      <c r="J37" s="15">
        <v>588.20000000000005</v>
      </c>
      <c r="K37" s="15">
        <f t="shared" si="17"/>
        <v>588.20000000000005</v>
      </c>
      <c r="L37" s="15">
        <v>0</v>
      </c>
      <c r="M37" s="15">
        <v>0</v>
      </c>
      <c r="N37" s="15">
        <f t="shared" si="18"/>
        <v>615.25</v>
      </c>
      <c r="O37" s="15">
        <f t="shared" si="19"/>
        <v>1203.45</v>
      </c>
      <c r="P37" s="18">
        <f t="shared" si="14"/>
        <v>4146.55</v>
      </c>
      <c r="Q37" s="10">
        <v>256.68</v>
      </c>
      <c r="R37" s="10">
        <v>1070</v>
      </c>
      <c r="S37" s="35">
        <f t="shared" si="15"/>
        <v>1326.68</v>
      </c>
    </row>
    <row r="38" spans="1:19" x14ac:dyDescent="0.25">
      <c r="B38" t="s">
        <v>128</v>
      </c>
      <c r="C38" t="s">
        <v>101</v>
      </c>
      <c r="D38" t="s">
        <v>81</v>
      </c>
      <c r="E38" s="15">
        <v>5350</v>
      </c>
      <c r="F38" s="29">
        <v>15</v>
      </c>
      <c r="G38" s="15">
        <v>0</v>
      </c>
      <c r="H38" s="15">
        <f t="shared" si="16"/>
        <v>5350</v>
      </c>
      <c r="I38" s="15">
        <v>0</v>
      </c>
      <c r="J38" s="15">
        <v>588.20000000000005</v>
      </c>
      <c r="K38" s="15">
        <f t="shared" si="17"/>
        <v>588.20000000000005</v>
      </c>
      <c r="L38" s="15">
        <v>0</v>
      </c>
      <c r="M38" s="15">
        <v>0</v>
      </c>
      <c r="N38" s="15">
        <f t="shared" si="18"/>
        <v>615.25</v>
      </c>
      <c r="O38" s="15">
        <f t="shared" si="19"/>
        <v>1203.45</v>
      </c>
      <c r="P38" s="18">
        <f t="shared" si="14"/>
        <v>4146.55</v>
      </c>
      <c r="Q38" s="10">
        <v>256.68</v>
      </c>
      <c r="R38" s="10">
        <v>1070</v>
      </c>
      <c r="S38" s="35">
        <f t="shared" si="15"/>
        <v>1326.68</v>
      </c>
    </row>
    <row r="39" spans="1:19" x14ac:dyDescent="0.25">
      <c r="B39" t="s">
        <v>129</v>
      </c>
      <c r="C39" t="s">
        <v>95</v>
      </c>
      <c r="D39" t="s">
        <v>82</v>
      </c>
      <c r="E39" s="15">
        <v>5350</v>
      </c>
      <c r="F39" s="29">
        <v>15</v>
      </c>
      <c r="G39" s="15">
        <v>0</v>
      </c>
      <c r="H39" s="15">
        <f t="shared" si="16"/>
        <v>5350</v>
      </c>
      <c r="I39" s="15">
        <v>0</v>
      </c>
      <c r="J39" s="15">
        <v>588.20000000000005</v>
      </c>
      <c r="K39" s="15">
        <f t="shared" si="17"/>
        <v>588.20000000000005</v>
      </c>
      <c r="L39" s="15">
        <v>0</v>
      </c>
      <c r="M39" s="15">
        <v>0</v>
      </c>
      <c r="N39" s="15">
        <f t="shared" si="18"/>
        <v>615.25</v>
      </c>
      <c r="O39" s="15">
        <f t="shared" si="19"/>
        <v>1203.45</v>
      </c>
      <c r="P39" s="18">
        <f t="shared" si="14"/>
        <v>4146.55</v>
      </c>
      <c r="Q39" s="10">
        <v>256.68</v>
      </c>
      <c r="R39" s="10">
        <v>1070</v>
      </c>
      <c r="S39" s="35">
        <f t="shared" si="15"/>
        <v>1326.68</v>
      </c>
    </row>
    <row r="40" spans="1:19" x14ac:dyDescent="0.25">
      <c r="B40" t="s">
        <v>130</v>
      </c>
      <c r="C40" t="s">
        <v>102</v>
      </c>
      <c r="D40" t="s">
        <v>82</v>
      </c>
      <c r="E40" s="15">
        <v>5350</v>
      </c>
      <c r="F40" s="29">
        <v>15</v>
      </c>
      <c r="G40" s="15">
        <v>0</v>
      </c>
      <c r="H40" s="15">
        <f t="shared" si="16"/>
        <v>5350</v>
      </c>
      <c r="I40" s="15">
        <v>0</v>
      </c>
      <c r="J40" s="15">
        <v>588.20000000000005</v>
      </c>
      <c r="K40" s="15">
        <f t="shared" si="17"/>
        <v>588.20000000000005</v>
      </c>
      <c r="L40" s="15">
        <v>0</v>
      </c>
      <c r="M40" s="15">
        <v>0</v>
      </c>
      <c r="N40" s="15">
        <f t="shared" si="18"/>
        <v>615.25</v>
      </c>
      <c r="O40" s="15">
        <f t="shared" si="19"/>
        <v>1203.45</v>
      </c>
      <c r="P40" s="18">
        <f t="shared" si="14"/>
        <v>4146.55</v>
      </c>
      <c r="Q40" s="10">
        <v>256.68</v>
      </c>
      <c r="R40" s="10">
        <v>1070</v>
      </c>
      <c r="S40" s="35">
        <f t="shared" si="15"/>
        <v>1326.68</v>
      </c>
    </row>
    <row r="41" spans="1:19" x14ac:dyDescent="0.25">
      <c r="B41" t="s">
        <v>131</v>
      </c>
      <c r="C41" t="s">
        <v>85</v>
      </c>
      <c r="D41" t="s">
        <v>83</v>
      </c>
      <c r="E41" s="15">
        <v>5350</v>
      </c>
      <c r="F41" s="29">
        <v>15</v>
      </c>
      <c r="G41" s="15">
        <v>0</v>
      </c>
      <c r="H41" s="15">
        <f t="shared" si="16"/>
        <v>5350</v>
      </c>
      <c r="I41" s="15">
        <v>0</v>
      </c>
      <c r="J41" s="15">
        <v>588.20000000000005</v>
      </c>
      <c r="K41" s="15">
        <f t="shared" si="17"/>
        <v>588.20000000000005</v>
      </c>
      <c r="L41" s="15">
        <v>0</v>
      </c>
      <c r="M41" s="15">
        <v>0</v>
      </c>
      <c r="N41" s="15">
        <f t="shared" si="18"/>
        <v>615.25</v>
      </c>
      <c r="O41" s="15">
        <f t="shared" si="19"/>
        <v>1203.45</v>
      </c>
      <c r="P41" s="18">
        <f t="shared" si="14"/>
        <v>4146.55</v>
      </c>
      <c r="Q41" s="10">
        <v>256.68</v>
      </c>
      <c r="R41" s="10">
        <v>1070</v>
      </c>
      <c r="S41" s="35">
        <f t="shared" si="15"/>
        <v>1326.68</v>
      </c>
    </row>
    <row r="42" spans="1:19" x14ac:dyDescent="0.25">
      <c r="B42" t="s">
        <v>132</v>
      </c>
      <c r="C42" t="s">
        <v>103</v>
      </c>
      <c r="D42" t="s">
        <v>83</v>
      </c>
      <c r="E42" s="15">
        <v>5350</v>
      </c>
      <c r="F42" s="29">
        <v>15</v>
      </c>
      <c r="G42" s="15">
        <v>0</v>
      </c>
      <c r="H42" s="15">
        <f t="shared" si="16"/>
        <v>5350</v>
      </c>
      <c r="I42" s="15">
        <v>0</v>
      </c>
      <c r="J42" s="15">
        <v>588.20000000000005</v>
      </c>
      <c r="K42" s="15">
        <f t="shared" si="17"/>
        <v>588.20000000000005</v>
      </c>
      <c r="L42" s="15">
        <v>0</v>
      </c>
      <c r="M42" s="15">
        <v>0</v>
      </c>
      <c r="N42" s="15">
        <f t="shared" si="18"/>
        <v>615.25</v>
      </c>
      <c r="O42" s="15">
        <f t="shared" si="19"/>
        <v>1203.45</v>
      </c>
      <c r="P42" s="18">
        <f t="shared" si="14"/>
        <v>4146.55</v>
      </c>
      <c r="Q42" s="10">
        <v>256.68</v>
      </c>
      <c r="R42" s="10">
        <v>1070</v>
      </c>
      <c r="S42" s="35">
        <f t="shared" si="15"/>
        <v>1326.68</v>
      </c>
    </row>
    <row r="43" spans="1:19" x14ac:dyDescent="0.25">
      <c r="A43" s="30"/>
      <c r="B43" s="2" t="s">
        <v>26</v>
      </c>
      <c r="C43" s="30"/>
      <c r="D43" s="30"/>
      <c r="E43" s="34">
        <f>SUM(E32:E42)</f>
        <v>58850</v>
      </c>
      <c r="F43" s="34"/>
      <c r="G43" s="34">
        <f>SUM(G32:G42)</f>
        <v>5.08</v>
      </c>
      <c r="H43" s="34">
        <f>SUM(H32:H42)</f>
        <v>58844.92</v>
      </c>
      <c r="I43" s="34">
        <f t="shared" ref="I43:S43" si="20">SUM(I32:I42)</f>
        <v>0</v>
      </c>
      <c r="J43" s="34">
        <f t="shared" si="20"/>
        <v>6469.6499999999987</v>
      </c>
      <c r="K43" s="34">
        <f t="shared" si="20"/>
        <v>6469.6499999999987</v>
      </c>
      <c r="L43" s="34">
        <f t="shared" si="20"/>
        <v>0</v>
      </c>
      <c r="M43" s="34">
        <f t="shared" si="20"/>
        <v>0</v>
      </c>
      <c r="N43" s="34">
        <f t="shared" si="20"/>
        <v>6767.1658000000007</v>
      </c>
      <c r="O43" s="34">
        <f t="shared" si="20"/>
        <v>13236.815800000002</v>
      </c>
      <c r="P43" s="34">
        <f t="shared" si="20"/>
        <v>45608.104200000009</v>
      </c>
      <c r="Q43" s="34">
        <f t="shared" si="20"/>
        <v>2823.4799999999996</v>
      </c>
      <c r="R43" s="34">
        <f t="shared" si="20"/>
        <v>11770</v>
      </c>
      <c r="S43" s="34">
        <f t="shared" si="20"/>
        <v>14593.480000000001</v>
      </c>
    </row>
    <row r="44" spans="1:19" x14ac:dyDescent="0.25"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9" x14ac:dyDescent="0.25">
      <c r="B45" s="2" t="s">
        <v>140</v>
      </c>
      <c r="C45" s="2" t="s">
        <v>64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9" x14ac:dyDescent="0.25">
      <c r="B46" t="s">
        <v>133</v>
      </c>
      <c r="C46" t="s">
        <v>99</v>
      </c>
      <c r="D46" t="s">
        <v>80</v>
      </c>
      <c r="E46" s="15">
        <v>5350</v>
      </c>
      <c r="F46" s="29">
        <v>15</v>
      </c>
      <c r="G46" s="15">
        <v>22.07</v>
      </c>
      <c r="H46" s="15">
        <f>E46-G46</f>
        <v>5327.93</v>
      </c>
      <c r="I46" s="15">
        <v>0</v>
      </c>
      <c r="J46" s="15">
        <v>585.84</v>
      </c>
      <c r="K46" s="15">
        <f>J46-I46</f>
        <v>585.84</v>
      </c>
      <c r="L46" s="15">
        <v>0</v>
      </c>
      <c r="M46" s="15">
        <v>0</v>
      </c>
      <c r="N46" s="15">
        <f>H46*0.115</f>
        <v>612.71195000000012</v>
      </c>
      <c r="O46" s="15">
        <f>SUM(K46:N46)</f>
        <v>1198.55195</v>
      </c>
      <c r="P46" s="18">
        <f>H46-O46</f>
        <v>4129.3780500000003</v>
      </c>
      <c r="Q46" s="10">
        <v>256.68</v>
      </c>
      <c r="R46" s="10">
        <v>1070</v>
      </c>
      <c r="S46" s="35">
        <f t="shared" ref="S46:S47" si="21">Q46+R46</f>
        <v>1326.68</v>
      </c>
    </row>
    <row r="47" spans="1:19" x14ac:dyDescent="0.25">
      <c r="B47" t="s">
        <v>152</v>
      </c>
      <c r="C47" t="s">
        <v>92</v>
      </c>
      <c r="D47" t="s">
        <v>80</v>
      </c>
      <c r="E47" s="15">
        <v>5350</v>
      </c>
      <c r="F47" s="29">
        <v>15</v>
      </c>
      <c r="G47" s="15">
        <v>0</v>
      </c>
      <c r="H47" s="15">
        <f>E47-G47</f>
        <v>5350</v>
      </c>
      <c r="I47" s="15">
        <v>0</v>
      </c>
      <c r="J47" s="15">
        <v>588.20000000000005</v>
      </c>
      <c r="K47" s="15">
        <v>588.20000000000005</v>
      </c>
      <c r="L47" s="15">
        <v>0</v>
      </c>
      <c r="M47" s="15">
        <v>0</v>
      </c>
      <c r="N47" s="15">
        <f>H47*0.115</f>
        <v>615.25</v>
      </c>
      <c r="O47" s="15">
        <f>SUM(K47:N47)</f>
        <v>1203.45</v>
      </c>
      <c r="P47" s="18">
        <f>H47-O47</f>
        <v>4146.55</v>
      </c>
      <c r="Q47" s="10">
        <v>256.68</v>
      </c>
      <c r="R47" s="10">
        <v>1070</v>
      </c>
      <c r="S47" s="35">
        <f t="shared" si="21"/>
        <v>1326.68</v>
      </c>
    </row>
    <row r="48" spans="1:19" x14ac:dyDescent="0.25">
      <c r="A48" s="30"/>
      <c r="B48" s="2" t="s">
        <v>26</v>
      </c>
      <c r="C48" s="30"/>
      <c r="D48" s="30"/>
      <c r="E48" s="34">
        <f>E46+E47</f>
        <v>10700</v>
      </c>
      <c r="F48" s="34"/>
      <c r="G48" s="34">
        <f>G46+G47</f>
        <v>22.07</v>
      </c>
      <c r="H48" s="34">
        <f t="shared" ref="H48:S48" si="22">H46+H47</f>
        <v>10677.93</v>
      </c>
      <c r="I48" s="34">
        <f t="shared" si="22"/>
        <v>0</v>
      </c>
      <c r="J48" s="34">
        <f t="shared" si="22"/>
        <v>1174.04</v>
      </c>
      <c r="K48" s="34">
        <f t="shared" si="22"/>
        <v>1174.04</v>
      </c>
      <c r="L48" s="34">
        <f t="shared" si="22"/>
        <v>0</v>
      </c>
      <c r="M48" s="34">
        <f t="shared" si="22"/>
        <v>0</v>
      </c>
      <c r="N48" s="34">
        <f t="shared" si="22"/>
        <v>1227.9619500000001</v>
      </c>
      <c r="O48" s="34">
        <f t="shared" si="22"/>
        <v>2402.0019499999999</v>
      </c>
      <c r="P48" s="34">
        <f t="shared" si="22"/>
        <v>8275.9280500000004</v>
      </c>
      <c r="Q48" s="34">
        <f t="shared" si="22"/>
        <v>513.36</v>
      </c>
      <c r="R48" s="34">
        <f t="shared" si="22"/>
        <v>2140</v>
      </c>
      <c r="S48" s="34">
        <f t="shared" si="22"/>
        <v>2653.36</v>
      </c>
    </row>
    <row r="49" spans="2:19" x14ac:dyDescent="0.25">
      <c r="B49" s="2"/>
      <c r="E49" s="15"/>
      <c r="F49" s="15"/>
      <c r="G49" s="15"/>
      <c r="H49" s="16"/>
      <c r="I49" s="16"/>
      <c r="J49" s="16"/>
      <c r="K49" s="16"/>
      <c r="L49" s="16"/>
      <c r="M49" s="16"/>
      <c r="N49" s="16"/>
      <c r="O49" s="16"/>
      <c r="P49" s="16"/>
      <c r="Q49" s="8"/>
      <c r="R49" s="8"/>
      <c r="S49" s="8"/>
    </row>
    <row r="51" spans="2:19" ht="18.75" x14ac:dyDescent="0.3">
      <c r="D51" s="4" t="s">
        <v>105</v>
      </c>
      <c r="E51" s="17">
        <f>E9+E20+E24+E29+E43+E48</f>
        <v>158954.95000000001</v>
      </c>
      <c r="F51" s="17">
        <f t="shared" ref="F51:S51" si="23">F9+F20+F24+F29+F43+F48</f>
        <v>0</v>
      </c>
      <c r="G51" s="17">
        <f t="shared" si="23"/>
        <v>72.13</v>
      </c>
      <c r="H51" s="17">
        <f t="shared" si="23"/>
        <v>158882.82</v>
      </c>
      <c r="I51" s="17">
        <f t="shared" si="23"/>
        <v>274.08999999999997</v>
      </c>
      <c r="J51" s="17">
        <f t="shared" si="23"/>
        <v>19492.07</v>
      </c>
      <c r="K51" s="17">
        <f t="shared" si="23"/>
        <v>19217.98</v>
      </c>
      <c r="L51" s="17">
        <f t="shared" si="23"/>
        <v>0</v>
      </c>
      <c r="M51" s="17">
        <f t="shared" si="23"/>
        <v>0</v>
      </c>
      <c r="N51" s="17">
        <f t="shared" si="23"/>
        <v>18271.524300000001</v>
      </c>
      <c r="O51" s="17">
        <f t="shared" si="23"/>
        <v>37489.504300000001</v>
      </c>
      <c r="P51" s="17">
        <f t="shared" si="23"/>
        <v>121393.31569999999</v>
      </c>
      <c r="Q51" s="17">
        <f t="shared" si="23"/>
        <v>7020.3799999999992</v>
      </c>
      <c r="R51" s="17">
        <f t="shared" si="23"/>
        <v>31790.989999999998</v>
      </c>
      <c r="S51" s="17">
        <f t="shared" si="23"/>
        <v>38811.370000000003</v>
      </c>
    </row>
    <row r="57" spans="2:19" ht="15.75" thickBot="1" x14ac:dyDescent="0.3">
      <c r="E57" s="375"/>
      <c r="F57" s="375"/>
      <c r="G57" s="375"/>
      <c r="J57" s="375"/>
      <c r="K57" s="375"/>
      <c r="L57" s="375"/>
    </row>
    <row r="58" spans="2:19" x14ac:dyDescent="0.25">
      <c r="E58" s="377" t="s">
        <v>146</v>
      </c>
      <c r="F58" s="377"/>
      <c r="G58" s="377"/>
      <c r="J58" s="378" t="s">
        <v>145</v>
      </c>
      <c r="K58" s="378"/>
      <c r="L58" s="378"/>
    </row>
    <row r="59" spans="2:19" ht="15.75" x14ac:dyDescent="0.3">
      <c r="E59" s="379" t="s">
        <v>144</v>
      </c>
      <c r="F59" s="379"/>
      <c r="G59" s="377"/>
      <c r="J59" s="379" t="s">
        <v>145</v>
      </c>
      <c r="K59" s="379"/>
      <c r="L59" s="379"/>
    </row>
  </sheetData>
  <mergeCells count="8">
    <mergeCell ref="E59:G59"/>
    <mergeCell ref="J59:L59"/>
    <mergeCell ref="C2:D2"/>
    <mergeCell ref="E3:S3"/>
    <mergeCell ref="E57:G57"/>
    <mergeCell ref="J57:L57"/>
    <mergeCell ref="E58:G58"/>
    <mergeCell ref="J58:L58"/>
  </mergeCells>
  <pageMargins left="0.70866141732283472" right="0.70866141732283472" top="0.74803149606299213" bottom="0.74803149606299213" header="0.31496062992125984" footer="0.31496062992125984"/>
  <pageSetup scale="57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57"/>
  <sheetViews>
    <sheetView topLeftCell="C28" zoomScale="85" zoomScaleNormal="85" workbookViewId="0">
      <selection activeCell="P46" sqref="P46"/>
    </sheetView>
  </sheetViews>
  <sheetFormatPr baseColWidth="10" defaultRowHeight="15" x14ac:dyDescent="0.25"/>
  <cols>
    <col min="1" max="1" width="11.42578125" customWidth="1"/>
    <col min="2" max="2" width="16.5703125" customWidth="1"/>
    <col min="3" max="3" width="34.140625" customWidth="1"/>
    <col min="4" max="4" width="29.85546875" customWidth="1"/>
    <col min="5" max="5" width="18.42578125" customWidth="1"/>
    <col min="6" max="7" width="11.42578125" customWidth="1"/>
    <col min="8" max="8" width="21" customWidth="1"/>
    <col min="9" max="9" width="11.42578125" customWidth="1"/>
    <col min="10" max="10" width="14.5703125" customWidth="1"/>
    <col min="11" max="11" width="13.42578125" customWidth="1"/>
    <col min="12" max="13" width="11.42578125" customWidth="1"/>
    <col min="14" max="14" width="14" customWidth="1"/>
    <col min="15" max="15" width="18.5703125" customWidth="1"/>
    <col min="16" max="16" width="16.85546875" customWidth="1"/>
    <col min="17" max="17" width="14" customWidth="1"/>
    <col min="18" max="18" width="15.7109375" customWidth="1"/>
    <col min="19" max="19" width="17" customWidth="1"/>
  </cols>
  <sheetData>
    <row r="2" spans="1:19" ht="18.75" x14ac:dyDescent="0.25">
      <c r="C2" s="372" t="s">
        <v>156</v>
      </c>
      <c r="D2" s="372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9" ht="15.75" thickBot="1" x14ac:dyDescent="0.3">
      <c r="E3" s="367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9"/>
    </row>
    <row r="4" spans="1:19" ht="36" thickTop="1" thickBot="1" x14ac:dyDescent="0.3">
      <c r="B4" s="31" t="s">
        <v>9</v>
      </c>
      <c r="C4" s="32" t="s">
        <v>10</v>
      </c>
      <c r="D4" s="32" t="s">
        <v>0</v>
      </c>
      <c r="E4" s="39" t="s">
        <v>11</v>
      </c>
      <c r="F4" s="39" t="s">
        <v>150</v>
      </c>
      <c r="G4" s="40" t="s">
        <v>154</v>
      </c>
      <c r="H4" s="39" t="s">
        <v>12</v>
      </c>
      <c r="I4" s="39" t="s">
        <v>107</v>
      </c>
      <c r="J4" s="39" t="s">
        <v>143</v>
      </c>
      <c r="K4" s="39" t="s">
        <v>13</v>
      </c>
      <c r="L4" s="39" t="s">
        <v>15</v>
      </c>
      <c r="M4" s="39" t="s">
        <v>106</v>
      </c>
      <c r="N4" s="39" t="s">
        <v>16</v>
      </c>
      <c r="O4" s="39" t="s">
        <v>17</v>
      </c>
      <c r="P4" s="39" t="s">
        <v>72</v>
      </c>
      <c r="Q4" s="32" t="s">
        <v>8</v>
      </c>
      <c r="R4" s="32" t="s">
        <v>18</v>
      </c>
      <c r="S4" s="41" t="s">
        <v>73</v>
      </c>
    </row>
    <row r="5" spans="1:19" ht="15.75" thickTop="1" x14ac:dyDescent="0.25">
      <c r="B5" s="2" t="s">
        <v>19</v>
      </c>
      <c r="C5" s="2" t="s">
        <v>20</v>
      </c>
      <c r="D5" s="2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9" x14ac:dyDescent="0.25">
      <c r="B6" t="s">
        <v>21</v>
      </c>
      <c r="C6" s="11" t="s">
        <v>22</v>
      </c>
      <c r="D6" t="s">
        <v>25</v>
      </c>
      <c r="E6" s="15">
        <v>16954.95</v>
      </c>
      <c r="F6" s="29">
        <v>15</v>
      </c>
      <c r="G6" s="15">
        <v>0</v>
      </c>
      <c r="H6" s="15">
        <f>E6+G6</f>
        <v>16954.95</v>
      </c>
      <c r="I6" s="15">
        <v>0</v>
      </c>
      <c r="J6" s="15">
        <v>3246.93</v>
      </c>
      <c r="K6" s="15">
        <f>J6-I6</f>
        <v>3246.93</v>
      </c>
      <c r="L6" s="15">
        <v>0</v>
      </c>
      <c r="M6" s="15">
        <v>0</v>
      </c>
      <c r="N6" s="15">
        <f>H6*0.115</f>
        <v>1949.8192500000002</v>
      </c>
      <c r="O6" s="15">
        <f>SUM(K6:N6)</f>
        <v>5196.7492499999998</v>
      </c>
      <c r="P6" s="18">
        <f>H6-O6</f>
        <v>11758.20075</v>
      </c>
      <c r="Q6" s="10">
        <v>328.67</v>
      </c>
      <c r="R6" s="10">
        <v>3390.99</v>
      </c>
      <c r="S6" s="35">
        <f>SUM(Q6:R6)</f>
        <v>3719.66</v>
      </c>
    </row>
    <row r="7" spans="1:19" x14ac:dyDescent="0.25">
      <c r="B7" t="s">
        <v>23</v>
      </c>
      <c r="C7" s="11" t="s">
        <v>24</v>
      </c>
      <c r="D7" t="s">
        <v>3</v>
      </c>
      <c r="E7" s="15">
        <v>4850</v>
      </c>
      <c r="F7" s="29">
        <v>15</v>
      </c>
      <c r="G7" s="15">
        <v>0</v>
      </c>
      <c r="H7" s="15">
        <f t="shared" ref="H7" si="0">E7+G7</f>
        <v>4850</v>
      </c>
      <c r="I7" s="15">
        <v>0</v>
      </c>
      <c r="J7" s="15">
        <v>491.69</v>
      </c>
      <c r="K7" s="15">
        <f t="shared" ref="K7:K8" si="1">J7-I7</f>
        <v>491.69</v>
      </c>
      <c r="L7" s="15">
        <v>0</v>
      </c>
      <c r="M7" s="15">
        <v>0</v>
      </c>
      <c r="N7" s="15">
        <f>H7*0.115</f>
        <v>557.75</v>
      </c>
      <c r="O7" s="15">
        <f t="shared" ref="O7:O8" si="2">SUM(K7:N7)</f>
        <v>1049.44</v>
      </c>
      <c r="P7" s="18">
        <f>H7-O7</f>
        <v>3800.56</v>
      </c>
      <c r="Q7" s="10">
        <v>253.58</v>
      </c>
      <c r="R7" s="10">
        <v>970</v>
      </c>
      <c r="S7" s="35">
        <f t="shared" ref="S7:S8" si="3">SUM(Q7:R7)</f>
        <v>1223.58</v>
      </c>
    </row>
    <row r="8" spans="1:19" x14ac:dyDescent="0.25">
      <c r="B8" t="s">
        <v>41</v>
      </c>
      <c r="C8" s="11" t="s">
        <v>42</v>
      </c>
      <c r="D8" t="s">
        <v>2</v>
      </c>
      <c r="E8" s="15">
        <v>10000</v>
      </c>
      <c r="F8" s="29">
        <v>15</v>
      </c>
      <c r="G8" s="15">
        <v>0</v>
      </c>
      <c r="H8" s="15">
        <v>10000</v>
      </c>
      <c r="I8" s="15">
        <v>0</v>
      </c>
      <c r="J8" s="15">
        <v>1581.44</v>
      </c>
      <c r="K8" s="15">
        <f t="shared" si="1"/>
        <v>1581.44</v>
      </c>
      <c r="L8" s="15"/>
      <c r="M8" s="15"/>
      <c r="N8" s="15">
        <v>1150</v>
      </c>
      <c r="O8" s="15">
        <f t="shared" si="2"/>
        <v>2731.44</v>
      </c>
      <c r="P8" s="18">
        <f>H8-O8</f>
        <v>7268.5599999999995</v>
      </c>
      <c r="Q8" s="10">
        <v>285.52999999999997</v>
      </c>
      <c r="R8" s="10">
        <v>2000</v>
      </c>
      <c r="S8" s="35">
        <f t="shared" si="3"/>
        <v>2285.5299999999997</v>
      </c>
    </row>
    <row r="9" spans="1:19" x14ac:dyDescent="0.25">
      <c r="A9" s="30"/>
      <c r="B9" s="7" t="s">
        <v>26</v>
      </c>
      <c r="C9" s="30"/>
      <c r="D9" s="30"/>
      <c r="E9" s="34">
        <f>SUM(E6:E8)</f>
        <v>31804.95</v>
      </c>
      <c r="F9" s="34"/>
      <c r="G9" s="34">
        <f t="shared" ref="G9" si="4">SUM(G6:G7)</f>
        <v>0</v>
      </c>
      <c r="H9" s="34">
        <f>SUM(H6:H8)</f>
        <v>31804.95</v>
      </c>
      <c r="I9" s="34">
        <f t="shared" ref="I9:S9" si="5">SUM(I6:I8)</f>
        <v>0</v>
      </c>
      <c r="J9" s="34">
        <f t="shared" si="5"/>
        <v>5320.0599999999995</v>
      </c>
      <c r="K9" s="34">
        <f t="shared" si="5"/>
        <v>5320.0599999999995</v>
      </c>
      <c r="L9" s="34">
        <f t="shared" si="5"/>
        <v>0</v>
      </c>
      <c r="M9" s="34">
        <f t="shared" si="5"/>
        <v>0</v>
      </c>
      <c r="N9" s="34">
        <f t="shared" si="5"/>
        <v>3657.5692500000005</v>
      </c>
      <c r="O9" s="34">
        <f t="shared" si="5"/>
        <v>8977.62925</v>
      </c>
      <c r="P9" s="34">
        <f t="shared" si="5"/>
        <v>22827.320749999999</v>
      </c>
      <c r="Q9" s="34">
        <f t="shared" si="5"/>
        <v>867.78</v>
      </c>
      <c r="R9" s="34">
        <f t="shared" si="5"/>
        <v>6360.99</v>
      </c>
      <c r="S9" s="34">
        <f t="shared" si="5"/>
        <v>7228.7699999999995</v>
      </c>
    </row>
    <row r="10" spans="1:19" x14ac:dyDescent="0.25"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9" x14ac:dyDescent="0.25">
      <c r="B11" s="2" t="s">
        <v>27</v>
      </c>
      <c r="C11" s="2" t="s">
        <v>28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9" x14ac:dyDescent="0.25">
      <c r="B12" t="s">
        <v>32</v>
      </c>
      <c r="C12" s="11" t="s">
        <v>37</v>
      </c>
      <c r="D12" t="s">
        <v>1</v>
      </c>
      <c r="E12" s="15">
        <v>10000</v>
      </c>
      <c r="F12" s="29">
        <v>15</v>
      </c>
      <c r="G12" s="15">
        <v>0</v>
      </c>
      <c r="H12" s="15">
        <f>E12-G12</f>
        <v>10000</v>
      </c>
      <c r="I12" s="15">
        <v>0</v>
      </c>
      <c r="J12" s="15">
        <v>1581.44</v>
      </c>
      <c r="K12" s="15">
        <f>J12-I12</f>
        <v>1581.44</v>
      </c>
      <c r="L12" s="15">
        <v>0</v>
      </c>
      <c r="M12" s="15">
        <v>0</v>
      </c>
      <c r="N12" s="15">
        <f>H12*0.115</f>
        <v>1150</v>
      </c>
      <c r="O12" s="15">
        <f t="shared" ref="O12:O17" si="6">SUM(K12:N12)</f>
        <v>2731.44</v>
      </c>
      <c r="P12" s="18">
        <f t="shared" ref="P12:P19" si="7">H12-O12</f>
        <v>7268.5599999999995</v>
      </c>
      <c r="Q12" s="10">
        <v>285.52999999999997</v>
      </c>
      <c r="R12" s="10">
        <v>2000</v>
      </c>
      <c r="S12" s="35">
        <f>Q12+R12</f>
        <v>2285.5299999999997</v>
      </c>
    </row>
    <row r="13" spans="1:19" x14ac:dyDescent="0.25">
      <c r="B13" t="s">
        <v>33</v>
      </c>
      <c r="C13" s="11" t="s">
        <v>38</v>
      </c>
      <c r="D13" t="s">
        <v>74</v>
      </c>
      <c r="E13" s="15">
        <v>5350</v>
      </c>
      <c r="F13" s="29">
        <v>15</v>
      </c>
      <c r="G13" s="19">
        <v>0</v>
      </c>
      <c r="H13" s="15">
        <f t="shared" ref="H13:H19" si="8">E13-G13</f>
        <v>5350</v>
      </c>
      <c r="I13" s="15">
        <v>0</v>
      </c>
      <c r="J13" s="15">
        <v>588.20000000000005</v>
      </c>
      <c r="K13" s="15">
        <f t="shared" ref="K13:K19" si="9">J13-I13</f>
        <v>588.20000000000005</v>
      </c>
      <c r="L13" s="15">
        <v>0</v>
      </c>
      <c r="M13" s="15">
        <v>0</v>
      </c>
      <c r="N13" s="15">
        <f t="shared" ref="N13:N19" si="10">H13*0.115</f>
        <v>615.25</v>
      </c>
      <c r="O13" s="15">
        <f t="shared" si="6"/>
        <v>1203.45</v>
      </c>
      <c r="P13" s="18">
        <f t="shared" si="7"/>
        <v>4146.55</v>
      </c>
      <c r="Q13" s="10">
        <v>256.68</v>
      </c>
      <c r="R13" s="10">
        <v>1070</v>
      </c>
      <c r="S13" s="35">
        <f>Q13+R13</f>
        <v>1326.68</v>
      </c>
    </row>
    <row r="14" spans="1:19" x14ac:dyDescent="0.25">
      <c r="B14" t="s">
        <v>34</v>
      </c>
      <c r="C14" t="s">
        <v>141</v>
      </c>
      <c r="D14" t="s">
        <v>75</v>
      </c>
      <c r="E14" s="21">
        <v>5350</v>
      </c>
      <c r="F14" s="29">
        <v>15</v>
      </c>
      <c r="G14" s="3">
        <v>0</v>
      </c>
      <c r="H14" s="15">
        <f t="shared" si="8"/>
        <v>5350</v>
      </c>
      <c r="I14" s="3">
        <v>0</v>
      </c>
      <c r="J14" s="3">
        <v>588.20000000000005</v>
      </c>
      <c r="K14" s="15">
        <f t="shared" si="9"/>
        <v>588.20000000000005</v>
      </c>
      <c r="L14" s="3">
        <v>0</v>
      </c>
      <c r="M14" s="3">
        <v>0</v>
      </c>
      <c r="N14" s="15">
        <f t="shared" si="10"/>
        <v>615.25</v>
      </c>
      <c r="O14" s="15">
        <f t="shared" si="6"/>
        <v>1203.45</v>
      </c>
      <c r="P14" s="18">
        <f t="shared" si="7"/>
        <v>4146.55</v>
      </c>
      <c r="Q14" s="27">
        <v>256.68</v>
      </c>
      <c r="R14" s="10">
        <v>1070</v>
      </c>
      <c r="S14" s="35">
        <f>Q14+R14</f>
        <v>1326.68</v>
      </c>
    </row>
    <row r="15" spans="1:19" x14ac:dyDescent="0.25">
      <c r="B15" t="s">
        <v>35</v>
      </c>
      <c r="C15" t="s">
        <v>111</v>
      </c>
      <c r="D15" t="s">
        <v>77</v>
      </c>
      <c r="E15" s="15">
        <v>6000</v>
      </c>
      <c r="F15" s="29">
        <v>15</v>
      </c>
      <c r="G15" s="15">
        <v>0</v>
      </c>
      <c r="H15" s="15">
        <f t="shared" si="8"/>
        <v>6000</v>
      </c>
      <c r="I15" s="15">
        <v>0</v>
      </c>
      <c r="J15" s="15">
        <v>727.04</v>
      </c>
      <c r="K15" s="15">
        <f t="shared" si="9"/>
        <v>727.04</v>
      </c>
      <c r="L15" s="15">
        <v>0</v>
      </c>
      <c r="M15" s="15">
        <v>0</v>
      </c>
      <c r="N15" s="15">
        <f t="shared" si="10"/>
        <v>690</v>
      </c>
      <c r="O15" s="15">
        <f t="shared" si="6"/>
        <v>1417.04</v>
      </c>
      <c r="P15" s="18">
        <f t="shared" si="7"/>
        <v>4582.96</v>
      </c>
      <c r="Q15" s="10">
        <v>260.72000000000003</v>
      </c>
      <c r="R15" s="10">
        <v>1200</v>
      </c>
      <c r="S15" s="35">
        <f>Q15+R15</f>
        <v>1460.72</v>
      </c>
    </row>
    <row r="16" spans="1:19" x14ac:dyDescent="0.25">
      <c r="B16" t="s">
        <v>36</v>
      </c>
      <c r="C16" t="s">
        <v>86</v>
      </c>
      <c r="D16" t="s">
        <v>39</v>
      </c>
      <c r="E16" s="15">
        <v>4500</v>
      </c>
      <c r="F16" s="29">
        <v>15</v>
      </c>
      <c r="G16" s="15">
        <v>0</v>
      </c>
      <c r="H16" s="15">
        <f t="shared" si="8"/>
        <v>4500</v>
      </c>
      <c r="I16" s="15">
        <v>0</v>
      </c>
      <c r="J16" s="15">
        <v>428.97</v>
      </c>
      <c r="K16" s="15">
        <f t="shared" si="9"/>
        <v>428.97</v>
      </c>
      <c r="L16" s="15">
        <v>0</v>
      </c>
      <c r="M16" s="15">
        <v>0</v>
      </c>
      <c r="N16" s="15">
        <f t="shared" si="10"/>
        <v>517.5</v>
      </c>
      <c r="O16" s="15">
        <f t="shared" si="6"/>
        <v>946.47</v>
      </c>
      <c r="P16" s="18">
        <f t="shared" si="7"/>
        <v>3553.5299999999997</v>
      </c>
      <c r="Q16" s="10">
        <v>251.41</v>
      </c>
      <c r="R16" s="10">
        <v>900</v>
      </c>
      <c r="S16" s="35">
        <f>Q16+R16</f>
        <v>1151.4100000000001</v>
      </c>
    </row>
    <row r="17" spans="1:19" x14ac:dyDescent="0.25">
      <c r="B17" t="s">
        <v>115</v>
      </c>
      <c r="C17" t="s">
        <v>87</v>
      </c>
      <c r="D17" t="s">
        <v>39</v>
      </c>
      <c r="E17" s="15">
        <v>4500</v>
      </c>
      <c r="F17" s="29">
        <v>15</v>
      </c>
      <c r="G17" s="15">
        <v>0</v>
      </c>
      <c r="H17" s="15">
        <f t="shared" si="8"/>
        <v>4500</v>
      </c>
      <c r="I17" s="15">
        <v>0</v>
      </c>
      <c r="J17" s="15">
        <v>428.97</v>
      </c>
      <c r="K17" s="15">
        <f t="shared" si="9"/>
        <v>428.97</v>
      </c>
      <c r="L17" s="15">
        <v>0</v>
      </c>
      <c r="M17" s="15">
        <v>0</v>
      </c>
      <c r="N17" s="15">
        <f t="shared" si="10"/>
        <v>517.5</v>
      </c>
      <c r="O17" s="15">
        <f t="shared" si="6"/>
        <v>946.47</v>
      </c>
      <c r="P17" s="18">
        <f t="shared" si="7"/>
        <v>3553.5299999999997</v>
      </c>
      <c r="Q17" s="10">
        <v>251.41</v>
      </c>
      <c r="R17" s="10">
        <v>900</v>
      </c>
      <c r="S17" s="35">
        <f t="shared" ref="S17:S19" si="11">Q17+R17</f>
        <v>1151.4100000000001</v>
      </c>
    </row>
    <row r="18" spans="1:19" x14ac:dyDescent="0.25">
      <c r="B18" t="s">
        <v>116</v>
      </c>
      <c r="C18" t="s">
        <v>89</v>
      </c>
      <c r="D18" t="s">
        <v>4</v>
      </c>
      <c r="E18" s="15">
        <v>2700</v>
      </c>
      <c r="F18" s="29">
        <v>15</v>
      </c>
      <c r="G18" s="15">
        <v>0</v>
      </c>
      <c r="H18" s="15">
        <f t="shared" si="8"/>
        <v>2700</v>
      </c>
      <c r="I18" s="15">
        <v>147.32</v>
      </c>
      <c r="J18" s="15">
        <v>188.33</v>
      </c>
      <c r="K18" s="15">
        <f t="shared" si="9"/>
        <v>41.010000000000019</v>
      </c>
      <c r="L18" s="15">
        <v>0</v>
      </c>
      <c r="M18" s="15">
        <v>0</v>
      </c>
      <c r="N18" s="15">
        <f t="shared" si="10"/>
        <v>310.5</v>
      </c>
      <c r="O18" s="15">
        <f>SUM(K18:N18)</f>
        <v>351.51</v>
      </c>
      <c r="P18" s="18">
        <f t="shared" si="7"/>
        <v>2348.4899999999998</v>
      </c>
      <c r="Q18" s="10">
        <v>240.25</v>
      </c>
      <c r="R18" s="10">
        <v>540</v>
      </c>
      <c r="S18" s="35">
        <f t="shared" si="11"/>
        <v>780.25</v>
      </c>
    </row>
    <row r="19" spans="1:19" x14ac:dyDescent="0.25">
      <c r="B19" t="s">
        <v>117</v>
      </c>
      <c r="C19" t="s">
        <v>88</v>
      </c>
      <c r="D19" t="s">
        <v>40</v>
      </c>
      <c r="E19" s="15">
        <v>3150</v>
      </c>
      <c r="F19" s="29">
        <v>15</v>
      </c>
      <c r="G19" s="15">
        <v>0</v>
      </c>
      <c r="H19" s="15">
        <f t="shared" si="8"/>
        <v>3150</v>
      </c>
      <c r="I19" s="15">
        <v>126.77</v>
      </c>
      <c r="J19" s="15">
        <v>237.29</v>
      </c>
      <c r="K19" s="15">
        <f t="shared" si="9"/>
        <v>110.52</v>
      </c>
      <c r="L19" s="15">
        <v>0</v>
      </c>
      <c r="M19" s="15">
        <v>0</v>
      </c>
      <c r="N19" s="15">
        <f t="shared" si="10"/>
        <v>362.25</v>
      </c>
      <c r="O19" s="15">
        <f>SUM(K19:N19)</f>
        <v>472.77</v>
      </c>
      <c r="P19" s="18">
        <f t="shared" si="7"/>
        <v>2677.23</v>
      </c>
      <c r="Q19" s="10">
        <v>243.04</v>
      </c>
      <c r="R19" s="10">
        <v>630</v>
      </c>
      <c r="S19" s="35">
        <f t="shared" si="11"/>
        <v>873.04</v>
      </c>
    </row>
    <row r="20" spans="1:19" x14ac:dyDescent="0.25">
      <c r="A20" s="30"/>
      <c r="B20" s="2" t="s">
        <v>26</v>
      </c>
      <c r="C20" s="30"/>
      <c r="D20" s="30"/>
      <c r="E20" s="34">
        <f t="shared" ref="E20:S20" si="12">SUM(E12:E19)</f>
        <v>41550</v>
      </c>
      <c r="F20" s="34"/>
      <c r="G20" s="34">
        <f t="shared" si="12"/>
        <v>0</v>
      </c>
      <c r="H20" s="34">
        <f t="shared" si="12"/>
        <v>41550</v>
      </c>
      <c r="I20" s="34">
        <f t="shared" si="12"/>
        <v>274.08999999999997</v>
      </c>
      <c r="J20" s="34">
        <f t="shared" si="12"/>
        <v>4768.4400000000005</v>
      </c>
      <c r="K20" s="34">
        <f t="shared" si="12"/>
        <v>4494.3500000000013</v>
      </c>
      <c r="L20" s="34">
        <f t="shared" si="12"/>
        <v>0</v>
      </c>
      <c r="M20" s="34">
        <f t="shared" si="12"/>
        <v>0</v>
      </c>
      <c r="N20" s="34">
        <f t="shared" si="12"/>
        <v>4778.25</v>
      </c>
      <c r="O20" s="34">
        <f t="shared" si="12"/>
        <v>9272.6</v>
      </c>
      <c r="P20" s="34">
        <f t="shared" si="12"/>
        <v>32277.399999999998</v>
      </c>
      <c r="Q20" s="34">
        <f t="shared" si="12"/>
        <v>2045.7200000000003</v>
      </c>
      <c r="R20" s="34">
        <f t="shared" si="12"/>
        <v>8310</v>
      </c>
      <c r="S20" s="34">
        <f t="shared" si="12"/>
        <v>10355.720000000001</v>
      </c>
    </row>
    <row r="21" spans="1:19" x14ac:dyDescent="0.25">
      <c r="B21" s="2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9" x14ac:dyDescent="0.25">
      <c r="B22" s="2" t="s">
        <v>43</v>
      </c>
      <c r="C22" s="2" t="s">
        <v>44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9" x14ac:dyDescent="0.25">
      <c r="B23" t="s">
        <v>119</v>
      </c>
      <c r="C23" t="s">
        <v>91</v>
      </c>
      <c r="D23" t="s">
        <v>76</v>
      </c>
      <c r="E23" s="15">
        <v>5350</v>
      </c>
      <c r="F23" s="29">
        <v>15</v>
      </c>
      <c r="G23" s="15">
        <v>0</v>
      </c>
      <c r="H23" s="15">
        <f>E23-G23</f>
        <v>5350</v>
      </c>
      <c r="I23" s="15">
        <v>0</v>
      </c>
      <c r="J23" s="15">
        <v>588.20000000000005</v>
      </c>
      <c r="K23" s="15">
        <f>J23-I23</f>
        <v>588.20000000000005</v>
      </c>
      <c r="L23" s="15">
        <v>0</v>
      </c>
      <c r="M23" s="15">
        <v>0</v>
      </c>
      <c r="N23" s="15">
        <f>H23*0.115</f>
        <v>615.25</v>
      </c>
      <c r="O23" s="15">
        <f>SUM(K23:N23)</f>
        <v>1203.45</v>
      </c>
      <c r="P23" s="18">
        <f>H23-O23</f>
        <v>4146.55</v>
      </c>
      <c r="Q23" s="10">
        <v>256.68</v>
      </c>
      <c r="R23" s="10">
        <v>1070</v>
      </c>
      <c r="S23" s="35">
        <f>Q23+R23</f>
        <v>1326.68</v>
      </c>
    </row>
    <row r="24" spans="1:19" x14ac:dyDescent="0.25">
      <c r="A24" s="30"/>
      <c r="B24" s="2" t="s">
        <v>26</v>
      </c>
      <c r="C24" s="30"/>
      <c r="D24" s="30"/>
      <c r="E24" s="34">
        <f>SUM(E23:E23)</f>
        <v>5350</v>
      </c>
      <c r="F24" s="34"/>
      <c r="G24" s="34">
        <f>G23</f>
        <v>0</v>
      </c>
      <c r="H24" s="34">
        <f t="shared" ref="H24:S24" si="13">SUM(H23:H23)</f>
        <v>5350</v>
      </c>
      <c r="I24" s="34">
        <f t="shared" si="13"/>
        <v>0</v>
      </c>
      <c r="J24" s="34">
        <f t="shared" si="13"/>
        <v>588.20000000000005</v>
      </c>
      <c r="K24" s="34">
        <f t="shared" si="13"/>
        <v>588.20000000000005</v>
      </c>
      <c r="L24" s="34">
        <f t="shared" si="13"/>
        <v>0</v>
      </c>
      <c r="M24" s="34">
        <f t="shared" si="13"/>
        <v>0</v>
      </c>
      <c r="N24" s="34">
        <f t="shared" si="13"/>
        <v>615.25</v>
      </c>
      <c r="O24" s="34">
        <f t="shared" si="13"/>
        <v>1203.45</v>
      </c>
      <c r="P24" s="34">
        <f t="shared" si="13"/>
        <v>4146.55</v>
      </c>
      <c r="Q24" s="34">
        <f t="shared" si="13"/>
        <v>256.68</v>
      </c>
      <c r="R24" s="34">
        <f t="shared" si="13"/>
        <v>1070</v>
      </c>
      <c r="S24" s="34">
        <f t="shared" si="13"/>
        <v>1326.68</v>
      </c>
    </row>
    <row r="25" spans="1:19" x14ac:dyDescent="0.25"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9" x14ac:dyDescent="0.25">
      <c r="B26" s="2" t="s">
        <v>50</v>
      </c>
      <c r="C26" s="2" t="s">
        <v>47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9" x14ac:dyDescent="0.25">
      <c r="B27" t="s">
        <v>120</v>
      </c>
      <c r="C27" t="s">
        <v>93</v>
      </c>
      <c r="D27" t="s">
        <v>78</v>
      </c>
      <c r="E27" s="15">
        <v>5350</v>
      </c>
      <c r="F27" s="29">
        <v>15</v>
      </c>
      <c r="G27" s="15">
        <v>8.49</v>
      </c>
      <c r="H27" s="15">
        <f>E27-G27</f>
        <v>5341.51</v>
      </c>
      <c r="I27" s="15">
        <v>0</v>
      </c>
      <c r="J27" s="15">
        <v>587.29</v>
      </c>
      <c r="K27" s="15">
        <f>J27-I27</f>
        <v>587.29</v>
      </c>
      <c r="L27" s="15">
        <v>0</v>
      </c>
      <c r="M27" s="15">
        <v>0</v>
      </c>
      <c r="N27" s="15">
        <f>H27*0.115</f>
        <v>614.27365000000009</v>
      </c>
      <c r="O27" s="15">
        <f>SUM(K27:N27)</f>
        <v>1201.5636500000001</v>
      </c>
      <c r="P27" s="18">
        <f>H27-O27</f>
        <v>4139.9463500000002</v>
      </c>
      <c r="Q27" s="10">
        <v>256.68</v>
      </c>
      <c r="R27" s="10">
        <v>1070</v>
      </c>
      <c r="S27" s="35">
        <f>Q27+R27</f>
        <v>1326.68</v>
      </c>
    </row>
    <row r="28" spans="1:19" x14ac:dyDescent="0.25">
      <c r="B28" t="s">
        <v>121</v>
      </c>
      <c r="C28" t="s">
        <v>114</v>
      </c>
      <c r="D28" t="s">
        <v>79</v>
      </c>
      <c r="E28" s="15">
        <v>5350</v>
      </c>
      <c r="F28" s="29">
        <v>15</v>
      </c>
      <c r="G28" s="15">
        <v>0</v>
      </c>
      <c r="H28" s="15">
        <f>E28-G28</f>
        <v>5350</v>
      </c>
      <c r="I28" s="15">
        <v>0</v>
      </c>
      <c r="J28" s="15">
        <v>588.20000000000005</v>
      </c>
      <c r="K28" s="15">
        <f>J28-I28</f>
        <v>588.20000000000005</v>
      </c>
      <c r="L28" s="15">
        <v>0</v>
      </c>
      <c r="M28" s="15">
        <v>0</v>
      </c>
      <c r="N28" s="15">
        <f>H28*0.115</f>
        <v>615.25</v>
      </c>
      <c r="O28" s="15">
        <f>SUM(K28:N28)</f>
        <v>1203.45</v>
      </c>
      <c r="P28" s="18">
        <f>H28-O28</f>
        <v>4146.55</v>
      </c>
      <c r="Q28" s="10">
        <v>256.68</v>
      </c>
      <c r="R28" s="10">
        <v>1070</v>
      </c>
      <c r="S28" s="35">
        <f>Q28+R28</f>
        <v>1326.68</v>
      </c>
    </row>
    <row r="29" spans="1:19" x14ac:dyDescent="0.25">
      <c r="A29" s="30"/>
      <c r="B29" s="2" t="s">
        <v>26</v>
      </c>
      <c r="C29" s="30"/>
      <c r="D29" s="30"/>
      <c r="E29" s="34">
        <f>SUM(E27:E28)</f>
        <v>10700</v>
      </c>
      <c r="F29" s="34"/>
      <c r="G29" s="34">
        <f>SUM(G27:G28)</f>
        <v>8.49</v>
      </c>
      <c r="H29" s="34">
        <f>SUM(H27:H28)</f>
        <v>10691.51</v>
      </c>
      <c r="I29" s="34">
        <f t="shared" ref="I29:S29" si="14">SUM(I27:I28)</f>
        <v>0</v>
      </c>
      <c r="J29" s="34">
        <f t="shared" si="14"/>
        <v>1175.49</v>
      </c>
      <c r="K29" s="34">
        <f t="shared" si="14"/>
        <v>1175.49</v>
      </c>
      <c r="L29" s="34">
        <f t="shared" si="14"/>
        <v>0</v>
      </c>
      <c r="M29" s="34">
        <f t="shared" si="14"/>
        <v>0</v>
      </c>
      <c r="N29" s="34">
        <f t="shared" si="14"/>
        <v>1229.5236500000001</v>
      </c>
      <c r="O29" s="34">
        <f t="shared" si="14"/>
        <v>2405.0136499999999</v>
      </c>
      <c r="P29" s="34">
        <f t="shared" si="14"/>
        <v>8286.4963500000013</v>
      </c>
      <c r="Q29" s="34">
        <f t="shared" si="14"/>
        <v>513.36</v>
      </c>
      <c r="R29" s="34">
        <f t="shared" si="14"/>
        <v>2140</v>
      </c>
      <c r="S29" s="34">
        <f t="shared" si="14"/>
        <v>2653.36</v>
      </c>
    </row>
    <row r="30" spans="1:19" x14ac:dyDescent="0.25"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9" x14ac:dyDescent="0.25">
      <c r="B31" s="2" t="s">
        <v>63</v>
      </c>
      <c r="C31" s="2" t="s">
        <v>51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9" x14ac:dyDescent="0.25">
      <c r="B32" t="s">
        <v>122</v>
      </c>
      <c r="C32" t="s">
        <v>97</v>
      </c>
      <c r="D32" t="s">
        <v>80</v>
      </c>
      <c r="E32" s="15">
        <v>5350</v>
      </c>
      <c r="F32" s="29">
        <v>15</v>
      </c>
      <c r="G32" s="15">
        <v>0</v>
      </c>
      <c r="H32" s="15">
        <f>E32-G32</f>
        <v>5350</v>
      </c>
      <c r="I32" s="15">
        <v>0</v>
      </c>
      <c r="J32" s="15">
        <v>588.20000000000005</v>
      </c>
      <c r="K32" s="15">
        <f>J32-I32</f>
        <v>588.20000000000005</v>
      </c>
      <c r="L32" s="15">
        <v>0</v>
      </c>
      <c r="M32" s="15">
        <v>0</v>
      </c>
      <c r="N32" s="15">
        <f>H32*0.115</f>
        <v>615.25</v>
      </c>
      <c r="O32" s="15">
        <f>SUM(K32:N32)</f>
        <v>1203.45</v>
      </c>
      <c r="P32" s="18">
        <f t="shared" ref="P32:P42" si="15">H32-O32</f>
        <v>4146.55</v>
      </c>
      <c r="Q32" s="10">
        <v>256.68</v>
      </c>
      <c r="R32" s="10">
        <v>1070</v>
      </c>
      <c r="S32" s="35">
        <f t="shared" ref="S32:S42" si="16">Q32+R32</f>
        <v>1326.68</v>
      </c>
    </row>
    <row r="33" spans="1:19" x14ac:dyDescent="0.25">
      <c r="B33" t="s">
        <v>123</v>
      </c>
      <c r="C33" t="s">
        <v>100</v>
      </c>
      <c r="D33" t="s">
        <v>80</v>
      </c>
      <c r="E33" s="15">
        <v>5350</v>
      </c>
      <c r="F33" s="29">
        <v>15</v>
      </c>
      <c r="G33" s="15">
        <v>0</v>
      </c>
      <c r="H33" s="15">
        <f t="shared" ref="H33:H42" si="17">E33-G33</f>
        <v>5350</v>
      </c>
      <c r="I33" s="15">
        <v>0</v>
      </c>
      <c r="J33" s="15">
        <v>588.20000000000005</v>
      </c>
      <c r="K33" s="15">
        <f t="shared" ref="K33:K42" si="18">J33-I33</f>
        <v>588.20000000000005</v>
      </c>
      <c r="L33" s="15">
        <v>0</v>
      </c>
      <c r="M33" s="15">
        <v>0</v>
      </c>
      <c r="N33" s="15">
        <f t="shared" ref="N33:N42" si="19">H33*0.115</f>
        <v>615.25</v>
      </c>
      <c r="O33" s="15">
        <f t="shared" ref="O33:O42" si="20">SUM(K33:N33)</f>
        <v>1203.45</v>
      </c>
      <c r="P33" s="18">
        <f t="shared" si="15"/>
        <v>4146.55</v>
      </c>
      <c r="Q33" s="10">
        <v>256.68</v>
      </c>
      <c r="R33" s="10">
        <v>1070</v>
      </c>
      <c r="S33" s="35">
        <f t="shared" si="16"/>
        <v>1326.68</v>
      </c>
    </row>
    <row r="34" spans="1:19" x14ac:dyDescent="0.25">
      <c r="B34" t="s">
        <v>124</v>
      </c>
      <c r="C34" t="s">
        <v>96</v>
      </c>
      <c r="D34" t="s">
        <v>78</v>
      </c>
      <c r="E34" s="15">
        <v>5350</v>
      </c>
      <c r="F34" s="29">
        <v>15</v>
      </c>
      <c r="G34" s="15">
        <v>0</v>
      </c>
      <c r="H34" s="15">
        <f t="shared" si="17"/>
        <v>5350</v>
      </c>
      <c r="I34" s="15">
        <v>0</v>
      </c>
      <c r="J34" s="15">
        <v>588.20000000000005</v>
      </c>
      <c r="K34" s="15">
        <f t="shared" si="18"/>
        <v>588.20000000000005</v>
      </c>
      <c r="L34" s="15">
        <v>0</v>
      </c>
      <c r="M34" s="15">
        <v>0</v>
      </c>
      <c r="N34" s="15">
        <f t="shared" si="19"/>
        <v>615.25</v>
      </c>
      <c r="O34" s="15">
        <f t="shared" si="20"/>
        <v>1203.45</v>
      </c>
      <c r="P34" s="18">
        <f t="shared" si="15"/>
        <v>4146.55</v>
      </c>
      <c r="Q34" s="10">
        <v>256.68</v>
      </c>
      <c r="R34" s="10">
        <v>1070</v>
      </c>
      <c r="S34" s="35">
        <f t="shared" si="16"/>
        <v>1326.68</v>
      </c>
    </row>
    <row r="35" spans="1:19" x14ac:dyDescent="0.25">
      <c r="B35" t="s">
        <v>125</v>
      </c>
      <c r="C35" t="s">
        <v>104</v>
      </c>
      <c r="D35" t="s">
        <v>78</v>
      </c>
      <c r="E35" s="15">
        <v>5350</v>
      </c>
      <c r="F35" s="29">
        <v>15</v>
      </c>
      <c r="G35" s="15">
        <v>0</v>
      </c>
      <c r="H35" s="15">
        <f t="shared" si="17"/>
        <v>5350</v>
      </c>
      <c r="I35" s="15">
        <v>0</v>
      </c>
      <c r="J35" s="15">
        <v>588.20000000000005</v>
      </c>
      <c r="K35" s="15">
        <f t="shared" si="18"/>
        <v>588.20000000000005</v>
      </c>
      <c r="L35" s="15">
        <v>0</v>
      </c>
      <c r="M35" s="15">
        <v>0</v>
      </c>
      <c r="N35" s="15">
        <f t="shared" si="19"/>
        <v>615.25</v>
      </c>
      <c r="O35" s="15">
        <f t="shared" si="20"/>
        <v>1203.45</v>
      </c>
      <c r="P35" s="18">
        <f t="shared" si="15"/>
        <v>4146.55</v>
      </c>
      <c r="Q35" s="10">
        <v>256.68</v>
      </c>
      <c r="R35" s="10">
        <v>1070</v>
      </c>
      <c r="S35" s="35">
        <f t="shared" si="16"/>
        <v>1326.68</v>
      </c>
    </row>
    <row r="36" spans="1:19" x14ac:dyDescent="0.25">
      <c r="B36" t="s">
        <v>126</v>
      </c>
      <c r="C36" t="s">
        <v>94</v>
      </c>
      <c r="D36" t="s">
        <v>81</v>
      </c>
      <c r="E36" s="15">
        <v>5350</v>
      </c>
      <c r="F36" s="29">
        <v>15</v>
      </c>
      <c r="G36" s="15">
        <v>0</v>
      </c>
      <c r="H36" s="15">
        <f t="shared" si="17"/>
        <v>5350</v>
      </c>
      <c r="I36" s="15">
        <v>0</v>
      </c>
      <c r="J36" s="15">
        <v>588.20000000000005</v>
      </c>
      <c r="K36" s="15">
        <f t="shared" si="18"/>
        <v>588.20000000000005</v>
      </c>
      <c r="L36" s="15">
        <v>0</v>
      </c>
      <c r="M36" s="15">
        <v>0</v>
      </c>
      <c r="N36" s="15">
        <f t="shared" si="19"/>
        <v>615.25</v>
      </c>
      <c r="O36" s="15">
        <f t="shared" si="20"/>
        <v>1203.45</v>
      </c>
      <c r="P36" s="18">
        <f t="shared" si="15"/>
        <v>4146.55</v>
      </c>
      <c r="Q36" s="10">
        <v>256.68</v>
      </c>
      <c r="R36" s="10">
        <v>1070</v>
      </c>
      <c r="S36" s="35">
        <f t="shared" si="16"/>
        <v>1326.68</v>
      </c>
    </row>
    <row r="37" spans="1:19" x14ac:dyDescent="0.25">
      <c r="B37" t="s">
        <v>127</v>
      </c>
      <c r="C37" t="s">
        <v>98</v>
      </c>
      <c r="D37" t="s">
        <v>81</v>
      </c>
      <c r="E37" s="15">
        <v>5350</v>
      </c>
      <c r="F37" s="29">
        <v>15</v>
      </c>
      <c r="G37" s="15">
        <v>0</v>
      </c>
      <c r="H37" s="15">
        <f t="shared" si="17"/>
        <v>5350</v>
      </c>
      <c r="I37" s="15">
        <v>0</v>
      </c>
      <c r="J37" s="15">
        <v>588.20000000000005</v>
      </c>
      <c r="K37" s="15">
        <f t="shared" si="18"/>
        <v>588.20000000000005</v>
      </c>
      <c r="L37" s="15">
        <v>0</v>
      </c>
      <c r="M37" s="15">
        <v>0</v>
      </c>
      <c r="N37" s="15">
        <f t="shared" si="19"/>
        <v>615.25</v>
      </c>
      <c r="O37" s="15">
        <f t="shared" si="20"/>
        <v>1203.45</v>
      </c>
      <c r="P37" s="18">
        <f t="shared" si="15"/>
        <v>4146.55</v>
      </c>
      <c r="Q37" s="10">
        <v>256.68</v>
      </c>
      <c r="R37" s="10">
        <v>1070</v>
      </c>
      <c r="S37" s="35">
        <f t="shared" si="16"/>
        <v>1326.68</v>
      </c>
    </row>
    <row r="38" spans="1:19" x14ac:dyDescent="0.25">
      <c r="B38" t="s">
        <v>128</v>
      </c>
      <c r="C38" t="s">
        <v>101</v>
      </c>
      <c r="D38" t="s">
        <v>81</v>
      </c>
      <c r="E38" s="15">
        <v>5350</v>
      </c>
      <c r="F38" s="29">
        <v>15</v>
      </c>
      <c r="G38" s="15">
        <v>0</v>
      </c>
      <c r="H38" s="15">
        <f t="shared" si="17"/>
        <v>5350</v>
      </c>
      <c r="I38" s="15">
        <v>0</v>
      </c>
      <c r="J38" s="15">
        <v>588.20000000000005</v>
      </c>
      <c r="K38" s="15">
        <f t="shared" si="18"/>
        <v>588.20000000000005</v>
      </c>
      <c r="L38" s="15">
        <v>0</v>
      </c>
      <c r="M38" s="15">
        <v>0</v>
      </c>
      <c r="N38" s="15">
        <f t="shared" si="19"/>
        <v>615.25</v>
      </c>
      <c r="O38" s="15">
        <f t="shared" si="20"/>
        <v>1203.45</v>
      </c>
      <c r="P38" s="18">
        <f t="shared" si="15"/>
        <v>4146.55</v>
      </c>
      <c r="Q38" s="10">
        <v>256.68</v>
      </c>
      <c r="R38" s="10">
        <v>1070</v>
      </c>
      <c r="S38" s="35">
        <f t="shared" si="16"/>
        <v>1326.68</v>
      </c>
    </row>
    <row r="39" spans="1:19" x14ac:dyDescent="0.25">
      <c r="B39" t="s">
        <v>129</v>
      </c>
      <c r="C39" t="s">
        <v>95</v>
      </c>
      <c r="D39" t="s">
        <v>82</v>
      </c>
      <c r="E39" s="15">
        <v>5350</v>
      </c>
      <c r="F39" s="29">
        <v>15</v>
      </c>
      <c r="G39" s="15">
        <v>0</v>
      </c>
      <c r="H39" s="15">
        <f t="shared" si="17"/>
        <v>5350</v>
      </c>
      <c r="I39" s="15">
        <v>0</v>
      </c>
      <c r="J39" s="15">
        <v>588.20000000000005</v>
      </c>
      <c r="K39" s="15">
        <f t="shared" si="18"/>
        <v>588.20000000000005</v>
      </c>
      <c r="L39" s="15">
        <v>0</v>
      </c>
      <c r="M39" s="15">
        <v>0</v>
      </c>
      <c r="N39" s="15">
        <f t="shared" si="19"/>
        <v>615.25</v>
      </c>
      <c r="O39" s="15">
        <f t="shared" si="20"/>
        <v>1203.45</v>
      </c>
      <c r="P39" s="18">
        <f t="shared" si="15"/>
        <v>4146.55</v>
      </c>
      <c r="Q39" s="10">
        <v>256.68</v>
      </c>
      <c r="R39" s="10">
        <v>1070</v>
      </c>
      <c r="S39" s="35">
        <f t="shared" si="16"/>
        <v>1326.68</v>
      </c>
    </row>
    <row r="40" spans="1:19" x14ac:dyDescent="0.25">
      <c r="B40" t="s">
        <v>130</v>
      </c>
      <c r="C40" t="s">
        <v>102</v>
      </c>
      <c r="D40" t="s">
        <v>82</v>
      </c>
      <c r="E40" s="15">
        <v>5350</v>
      </c>
      <c r="F40" s="29">
        <v>15</v>
      </c>
      <c r="G40" s="15">
        <v>0</v>
      </c>
      <c r="H40" s="15">
        <f t="shared" si="17"/>
        <v>5350</v>
      </c>
      <c r="I40" s="15">
        <v>0</v>
      </c>
      <c r="J40" s="15">
        <v>588.20000000000005</v>
      </c>
      <c r="K40" s="15">
        <f t="shared" si="18"/>
        <v>588.20000000000005</v>
      </c>
      <c r="L40" s="15">
        <v>0</v>
      </c>
      <c r="M40" s="15">
        <v>0</v>
      </c>
      <c r="N40" s="15">
        <f t="shared" si="19"/>
        <v>615.25</v>
      </c>
      <c r="O40" s="15">
        <f t="shared" si="20"/>
        <v>1203.45</v>
      </c>
      <c r="P40" s="18">
        <f t="shared" si="15"/>
        <v>4146.55</v>
      </c>
      <c r="Q40" s="10">
        <v>256.68</v>
      </c>
      <c r="R40" s="10">
        <v>1070</v>
      </c>
      <c r="S40" s="35">
        <f t="shared" si="16"/>
        <v>1326.68</v>
      </c>
    </row>
    <row r="41" spans="1:19" x14ac:dyDescent="0.25">
      <c r="B41" t="s">
        <v>131</v>
      </c>
      <c r="C41" t="s">
        <v>85</v>
      </c>
      <c r="D41" t="s">
        <v>83</v>
      </c>
      <c r="E41" s="15">
        <v>5350</v>
      </c>
      <c r="F41" s="29">
        <v>15</v>
      </c>
      <c r="G41" s="15">
        <v>0</v>
      </c>
      <c r="H41" s="15">
        <f t="shared" si="17"/>
        <v>5350</v>
      </c>
      <c r="I41" s="15">
        <v>0</v>
      </c>
      <c r="J41" s="15">
        <v>588.20000000000005</v>
      </c>
      <c r="K41" s="15">
        <f t="shared" si="18"/>
        <v>588.20000000000005</v>
      </c>
      <c r="L41" s="15">
        <v>0</v>
      </c>
      <c r="M41" s="15">
        <v>0</v>
      </c>
      <c r="N41" s="15">
        <f t="shared" si="19"/>
        <v>615.25</v>
      </c>
      <c r="O41" s="15">
        <f t="shared" si="20"/>
        <v>1203.45</v>
      </c>
      <c r="P41" s="18">
        <f t="shared" si="15"/>
        <v>4146.55</v>
      </c>
      <c r="Q41" s="10">
        <v>256.68</v>
      </c>
      <c r="R41" s="10">
        <v>1070</v>
      </c>
      <c r="S41" s="35">
        <f t="shared" si="16"/>
        <v>1326.68</v>
      </c>
    </row>
    <row r="42" spans="1:19" x14ac:dyDescent="0.25">
      <c r="B42" t="s">
        <v>132</v>
      </c>
      <c r="C42" t="s">
        <v>103</v>
      </c>
      <c r="D42" t="s">
        <v>83</v>
      </c>
      <c r="E42" s="15">
        <v>5350</v>
      </c>
      <c r="F42" s="29">
        <v>15</v>
      </c>
      <c r="G42" s="15">
        <v>0</v>
      </c>
      <c r="H42" s="15">
        <f t="shared" si="17"/>
        <v>5350</v>
      </c>
      <c r="I42" s="15">
        <v>0</v>
      </c>
      <c r="J42" s="15">
        <v>588.20000000000005</v>
      </c>
      <c r="K42" s="15">
        <f t="shared" si="18"/>
        <v>588.20000000000005</v>
      </c>
      <c r="L42" s="15">
        <v>0</v>
      </c>
      <c r="M42" s="15">
        <v>0</v>
      </c>
      <c r="N42" s="15">
        <f t="shared" si="19"/>
        <v>615.25</v>
      </c>
      <c r="O42" s="15">
        <f t="shared" si="20"/>
        <v>1203.45</v>
      </c>
      <c r="P42" s="18">
        <f t="shared" si="15"/>
        <v>4146.55</v>
      </c>
      <c r="Q42" s="10">
        <v>256.68</v>
      </c>
      <c r="R42" s="10">
        <v>1070</v>
      </c>
      <c r="S42" s="35">
        <f t="shared" si="16"/>
        <v>1326.68</v>
      </c>
    </row>
    <row r="43" spans="1:19" x14ac:dyDescent="0.25">
      <c r="A43" s="30"/>
      <c r="B43" s="2" t="s">
        <v>26</v>
      </c>
      <c r="C43" s="30"/>
      <c r="D43" s="30"/>
      <c r="E43" s="34">
        <f>SUM(E32:E42)</f>
        <v>58850</v>
      </c>
      <c r="F43" s="34"/>
      <c r="G43" s="34">
        <f>SUM(G32:G42)</f>
        <v>0</v>
      </c>
      <c r="H43" s="34">
        <f>SUM(H32:H42)</f>
        <v>58850</v>
      </c>
      <c r="I43" s="34">
        <f t="shared" ref="I43:S43" si="21">SUM(I32:I42)</f>
        <v>0</v>
      </c>
      <c r="J43" s="34">
        <f t="shared" si="21"/>
        <v>6470.1999999999989</v>
      </c>
      <c r="K43" s="34">
        <f t="shared" si="21"/>
        <v>6470.1999999999989</v>
      </c>
      <c r="L43" s="34">
        <f t="shared" si="21"/>
        <v>0</v>
      </c>
      <c r="M43" s="34">
        <f t="shared" si="21"/>
        <v>0</v>
      </c>
      <c r="N43" s="34">
        <f t="shared" si="21"/>
        <v>6767.75</v>
      </c>
      <c r="O43" s="34">
        <f t="shared" si="21"/>
        <v>13237.950000000003</v>
      </c>
      <c r="P43" s="34">
        <f t="shared" si="21"/>
        <v>45612.05000000001</v>
      </c>
      <c r="Q43" s="34">
        <f t="shared" si="21"/>
        <v>2823.4799999999996</v>
      </c>
      <c r="R43" s="34">
        <f t="shared" si="21"/>
        <v>11770</v>
      </c>
      <c r="S43" s="34">
        <f t="shared" si="21"/>
        <v>14593.480000000001</v>
      </c>
    </row>
    <row r="44" spans="1:19" x14ac:dyDescent="0.25"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9" x14ac:dyDescent="0.25">
      <c r="B45" s="2" t="s">
        <v>140</v>
      </c>
      <c r="C45" s="2" t="s">
        <v>64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9" x14ac:dyDescent="0.25">
      <c r="B46" t="s">
        <v>133</v>
      </c>
      <c r="C46" t="s">
        <v>99</v>
      </c>
      <c r="D46" t="s">
        <v>80</v>
      </c>
      <c r="E46" s="15">
        <v>5350</v>
      </c>
      <c r="F46" s="29">
        <v>15</v>
      </c>
      <c r="G46" s="15">
        <v>0</v>
      </c>
      <c r="H46" s="15">
        <f>E46-G46</f>
        <v>5350</v>
      </c>
      <c r="I46" s="15">
        <v>0</v>
      </c>
      <c r="J46" s="15">
        <v>588.20000000000005</v>
      </c>
      <c r="K46" s="15">
        <f>J46-I46</f>
        <v>588.20000000000005</v>
      </c>
      <c r="L46" s="15">
        <v>0</v>
      </c>
      <c r="M46" s="15">
        <v>0</v>
      </c>
      <c r="N46" s="15">
        <f>H46*0.115</f>
        <v>615.25</v>
      </c>
      <c r="O46" s="15">
        <f>SUM(K46:N46)</f>
        <v>1203.45</v>
      </c>
      <c r="P46" s="18">
        <f>H46-O46</f>
        <v>4146.55</v>
      </c>
      <c r="Q46" s="10">
        <v>256.68</v>
      </c>
      <c r="R46" s="10">
        <v>1070</v>
      </c>
      <c r="S46" s="35">
        <f t="shared" ref="S46:S47" si="22">Q46+R46</f>
        <v>1326.68</v>
      </c>
    </row>
    <row r="47" spans="1:19" x14ac:dyDescent="0.25">
      <c r="B47" t="s">
        <v>152</v>
      </c>
      <c r="C47" t="s">
        <v>92</v>
      </c>
      <c r="D47" t="s">
        <v>80</v>
      </c>
      <c r="E47" s="15">
        <v>5350</v>
      </c>
      <c r="F47" s="29">
        <v>15</v>
      </c>
      <c r="G47" s="15">
        <v>0</v>
      </c>
      <c r="H47" s="15">
        <f>E47-G47</f>
        <v>5350</v>
      </c>
      <c r="I47" s="15">
        <v>0</v>
      </c>
      <c r="J47" s="15">
        <v>588.20000000000005</v>
      </c>
      <c r="K47" s="15">
        <v>588.20000000000005</v>
      </c>
      <c r="L47" s="15">
        <v>0</v>
      </c>
      <c r="M47" s="15">
        <v>0</v>
      </c>
      <c r="N47" s="15">
        <f>H47*0.115</f>
        <v>615.25</v>
      </c>
      <c r="O47" s="15">
        <f>SUM(K47:N47)</f>
        <v>1203.45</v>
      </c>
      <c r="P47" s="18">
        <f>H47-O47</f>
        <v>4146.55</v>
      </c>
      <c r="Q47" s="10">
        <v>256.68</v>
      </c>
      <c r="R47" s="10">
        <v>1070</v>
      </c>
      <c r="S47" s="35">
        <f t="shared" si="22"/>
        <v>1326.68</v>
      </c>
    </row>
    <row r="48" spans="1:19" x14ac:dyDescent="0.25">
      <c r="A48" s="30"/>
      <c r="B48" s="2" t="s">
        <v>26</v>
      </c>
      <c r="C48" s="30"/>
      <c r="D48" s="30"/>
      <c r="E48" s="34">
        <f>E46+E47</f>
        <v>10700</v>
      </c>
      <c r="F48" s="34"/>
      <c r="G48" s="34">
        <f>G46+G47</f>
        <v>0</v>
      </c>
      <c r="H48" s="34">
        <f t="shared" ref="H48:S48" si="23">H46+H47</f>
        <v>10700</v>
      </c>
      <c r="I48" s="34">
        <f t="shared" si="23"/>
        <v>0</v>
      </c>
      <c r="J48" s="34">
        <f t="shared" si="23"/>
        <v>1176.4000000000001</v>
      </c>
      <c r="K48" s="34">
        <f t="shared" si="23"/>
        <v>1176.4000000000001</v>
      </c>
      <c r="L48" s="34">
        <f t="shared" si="23"/>
        <v>0</v>
      </c>
      <c r="M48" s="34">
        <f t="shared" si="23"/>
        <v>0</v>
      </c>
      <c r="N48" s="34">
        <f t="shared" si="23"/>
        <v>1230.5</v>
      </c>
      <c r="O48" s="34">
        <f t="shared" si="23"/>
        <v>2406.9</v>
      </c>
      <c r="P48" s="34">
        <f t="shared" si="23"/>
        <v>8293.1</v>
      </c>
      <c r="Q48" s="34">
        <f t="shared" si="23"/>
        <v>513.36</v>
      </c>
      <c r="R48" s="34">
        <f t="shared" si="23"/>
        <v>2140</v>
      </c>
      <c r="S48" s="34">
        <f t="shared" si="23"/>
        <v>2653.36</v>
      </c>
    </row>
    <row r="49" spans="2:19" x14ac:dyDescent="0.25">
      <c r="B49" s="2"/>
      <c r="E49" s="15"/>
      <c r="F49" s="15"/>
      <c r="G49" s="15"/>
      <c r="H49" s="16"/>
      <c r="I49" s="16"/>
      <c r="J49" s="16"/>
      <c r="K49" s="16"/>
      <c r="L49" s="16"/>
      <c r="M49" s="16"/>
      <c r="N49" s="16"/>
      <c r="O49" s="16"/>
      <c r="P49" s="16"/>
      <c r="Q49" s="8"/>
      <c r="R49" s="8"/>
      <c r="S49" s="8"/>
    </row>
    <row r="51" spans="2:19" ht="18.75" x14ac:dyDescent="0.3">
      <c r="D51" s="4" t="s">
        <v>105</v>
      </c>
      <c r="E51" s="17">
        <f>E9+E20+E24+E29+E43+E48</f>
        <v>158954.95000000001</v>
      </c>
      <c r="F51" s="17"/>
      <c r="G51" s="17">
        <f>G9+G20+G24+G29+G43+G48</f>
        <v>8.49</v>
      </c>
      <c r="H51" s="17">
        <f t="shared" ref="H51:S51" si="24">H9+H20+H24+H29+H43+H48</f>
        <v>158946.46</v>
      </c>
      <c r="I51" s="17">
        <f t="shared" si="24"/>
        <v>274.08999999999997</v>
      </c>
      <c r="J51" s="17">
        <f t="shared" si="24"/>
        <v>19498.79</v>
      </c>
      <c r="K51" s="17">
        <f t="shared" si="24"/>
        <v>19224.7</v>
      </c>
      <c r="L51" s="17">
        <f t="shared" si="24"/>
        <v>0</v>
      </c>
      <c r="M51" s="17">
        <f t="shared" si="24"/>
        <v>0</v>
      </c>
      <c r="N51" s="17">
        <f t="shared" si="24"/>
        <v>18278.8429</v>
      </c>
      <c r="O51" s="17">
        <f t="shared" si="24"/>
        <v>37503.542900000008</v>
      </c>
      <c r="P51" s="17">
        <f t="shared" si="24"/>
        <v>121442.91710000002</v>
      </c>
      <c r="Q51" s="17">
        <f t="shared" si="24"/>
        <v>7020.3799999999992</v>
      </c>
      <c r="R51" s="17">
        <f t="shared" si="24"/>
        <v>31790.989999999998</v>
      </c>
      <c r="S51" s="17">
        <f t="shared" si="24"/>
        <v>38811.370000000003</v>
      </c>
    </row>
    <row r="55" spans="2:19" ht="15.75" thickBot="1" x14ac:dyDescent="0.3">
      <c r="E55" s="375"/>
      <c r="F55" s="375"/>
      <c r="N55" s="375"/>
      <c r="O55" s="375"/>
    </row>
    <row r="57" spans="2:19" x14ac:dyDescent="0.25">
      <c r="E57" s="377" t="s">
        <v>146</v>
      </c>
      <c r="F57" s="377"/>
      <c r="N57" s="377" t="s">
        <v>157</v>
      </c>
      <c r="O57" s="377"/>
    </row>
  </sheetData>
  <mergeCells count="6">
    <mergeCell ref="C2:D2"/>
    <mergeCell ref="E3:S3"/>
    <mergeCell ref="E55:F55"/>
    <mergeCell ref="N55:O55"/>
    <mergeCell ref="E57:F57"/>
    <mergeCell ref="N57:O57"/>
  </mergeCells>
  <pageMargins left="0.70866141732283472" right="0.70866141732283472" top="0.74803149606299213" bottom="0.74803149606299213" header="0.31496062992125984" footer="0.31496062992125984"/>
  <pageSetup paperSize="300" scale="48" orientation="landscape" r:id="rId1"/>
  <ignoredErrors>
    <ignoredError sqref="G9" formulaRange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57"/>
  <sheetViews>
    <sheetView topLeftCell="E34" workbookViewId="0">
      <selection activeCell="P51" sqref="P51"/>
    </sheetView>
  </sheetViews>
  <sheetFormatPr baseColWidth="10" defaultRowHeight="15" x14ac:dyDescent="0.25"/>
  <cols>
    <col min="1" max="1" width="11.42578125" customWidth="1"/>
    <col min="2" max="2" width="16.5703125" customWidth="1"/>
    <col min="3" max="3" width="34.140625" customWidth="1"/>
    <col min="4" max="4" width="29.85546875" customWidth="1"/>
    <col min="5" max="5" width="18.42578125" customWidth="1"/>
    <col min="8" max="8" width="21" customWidth="1"/>
    <col min="10" max="10" width="14.5703125" customWidth="1"/>
    <col min="11" max="11" width="13.42578125" customWidth="1"/>
    <col min="14" max="14" width="14" customWidth="1"/>
    <col min="15" max="15" width="18.5703125" customWidth="1"/>
    <col min="16" max="16" width="16.85546875" customWidth="1"/>
    <col min="17" max="17" width="14" customWidth="1"/>
    <col min="18" max="18" width="15.7109375" customWidth="1"/>
    <col min="19" max="19" width="17" customWidth="1"/>
  </cols>
  <sheetData>
    <row r="2" spans="2:19" ht="18.75" x14ac:dyDescent="0.25">
      <c r="C2" s="372" t="s">
        <v>158</v>
      </c>
      <c r="D2" s="372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2:19" ht="15.75" thickBot="1" x14ac:dyDescent="0.3">
      <c r="E3" s="367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9"/>
    </row>
    <row r="4" spans="2:19" ht="36" thickTop="1" thickBot="1" x14ac:dyDescent="0.3">
      <c r="B4" s="31" t="s">
        <v>9</v>
      </c>
      <c r="C4" s="32" t="s">
        <v>10</v>
      </c>
      <c r="D4" s="32" t="s">
        <v>0</v>
      </c>
      <c r="E4" s="39" t="s">
        <v>11</v>
      </c>
      <c r="F4" s="39" t="s">
        <v>150</v>
      </c>
      <c r="G4" s="40" t="s">
        <v>154</v>
      </c>
      <c r="H4" s="39" t="s">
        <v>12</v>
      </c>
      <c r="I4" s="39" t="s">
        <v>107</v>
      </c>
      <c r="J4" s="39" t="s">
        <v>143</v>
      </c>
      <c r="K4" s="39" t="s">
        <v>13</v>
      </c>
      <c r="L4" s="39" t="s">
        <v>15</v>
      </c>
      <c r="M4" s="39" t="s">
        <v>106</v>
      </c>
      <c r="N4" s="39" t="s">
        <v>16</v>
      </c>
      <c r="O4" s="39" t="s">
        <v>17</v>
      </c>
      <c r="P4" s="39" t="s">
        <v>72</v>
      </c>
      <c r="Q4" s="32" t="s">
        <v>8</v>
      </c>
      <c r="R4" s="32" t="s">
        <v>18</v>
      </c>
      <c r="S4" s="41" t="s">
        <v>73</v>
      </c>
    </row>
    <row r="5" spans="2:19" ht="15.75" thickTop="1" x14ac:dyDescent="0.25">
      <c r="B5" s="2" t="s">
        <v>19</v>
      </c>
      <c r="C5" s="2" t="s">
        <v>20</v>
      </c>
      <c r="D5" s="2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2:19" x14ac:dyDescent="0.25">
      <c r="B6" t="s">
        <v>21</v>
      </c>
      <c r="C6" s="11" t="s">
        <v>22</v>
      </c>
      <c r="D6" t="s">
        <v>25</v>
      </c>
      <c r="E6" s="15">
        <v>16954.95</v>
      </c>
      <c r="F6" s="29">
        <v>15</v>
      </c>
      <c r="G6" s="15">
        <v>0</v>
      </c>
      <c r="H6" s="15">
        <f>E6+G6</f>
        <v>16954.95</v>
      </c>
      <c r="I6" s="15">
        <v>0</v>
      </c>
      <c r="J6" s="15">
        <v>3246.93</v>
      </c>
      <c r="K6" s="15">
        <f>J6-I6</f>
        <v>3246.93</v>
      </c>
      <c r="L6" s="15">
        <v>0</v>
      </c>
      <c r="M6" s="15">
        <v>0</v>
      </c>
      <c r="N6" s="15">
        <f>H6*0.115</f>
        <v>1949.8192500000002</v>
      </c>
      <c r="O6" s="15">
        <f>SUM(K6:N6)</f>
        <v>5196.7492499999998</v>
      </c>
      <c r="P6" s="18">
        <f>H6-O6</f>
        <v>11758.20075</v>
      </c>
      <c r="Q6" s="10">
        <v>328.67</v>
      </c>
      <c r="R6" s="10">
        <v>3390.99</v>
      </c>
      <c r="S6" s="35">
        <f>SUM(Q6:R6)</f>
        <v>3719.66</v>
      </c>
    </row>
    <row r="7" spans="2:19" x14ac:dyDescent="0.25">
      <c r="B7" t="s">
        <v>23</v>
      </c>
      <c r="C7" s="11" t="s">
        <v>24</v>
      </c>
      <c r="D7" t="s">
        <v>3</v>
      </c>
      <c r="E7" s="15">
        <v>4850</v>
      </c>
      <c r="F7" s="29">
        <v>15</v>
      </c>
      <c r="G7" s="15">
        <v>0</v>
      </c>
      <c r="H7" s="15">
        <f t="shared" ref="H7" si="0">E7+G7</f>
        <v>4850</v>
      </c>
      <c r="I7" s="15">
        <v>0</v>
      </c>
      <c r="J7" s="15">
        <v>491.69</v>
      </c>
      <c r="K7" s="15">
        <f t="shared" ref="K7:K8" si="1">J7-I7</f>
        <v>491.69</v>
      </c>
      <c r="L7" s="15">
        <v>0</v>
      </c>
      <c r="M7" s="15">
        <v>0</v>
      </c>
      <c r="N7" s="15">
        <f>H7*0.115</f>
        <v>557.75</v>
      </c>
      <c r="O7" s="15">
        <f t="shared" ref="O7:O8" si="2">SUM(K7:N7)</f>
        <v>1049.44</v>
      </c>
      <c r="P7" s="18">
        <f>H7-O7</f>
        <v>3800.56</v>
      </c>
      <c r="Q7" s="10">
        <v>253.58</v>
      </c>
      <c r="R7" s="10">
        <v>970</v>
      </c>
      <c r="S7" s="35">
        <f t="shared" ref="S7:S8" si="3">SUM(Q7:R7)</f>
        <v>1223.58</v>
      </c>
    </row>
    <row r="8" spans="2:19" x14ac:dyDescent="0.25">
      <c r="B8" t="s">
        <v>41</v>
      </c>
      <c r="C8" s="11" t="s">
        <v>42</v>
      </c>
      <c r="D8" t="s">
        <v>2</v>
      </c>
      <c r="E8" s="15">
        <v>10000</v>
      </c>
      <c r="F8" s="29">
        <v>15</v>
      </c>
      <c r="G8" s="15">
        <v>0</v>
      </c>
      <c r="H8" s="15">
        <v>10000</v>
      </c>
      <c r="I8" s="15">
        <v>0</v>
      </c>
      <c r="J8" s="15">
        <v>1581.44</v>
      </c>
      <c r="K8" s="15">
        <f t="shared" si="1"/>
        <v>1581.44</v>
      </c>
      <c r="L8" s="15"/>
      <c r="M8" s="15"/>
      <c r="N8" s="15">
        <v>1150</v>
      </c>
      <c r="O8" s="15">
        <f t="shared" si="2"/>
        <v>2731.44</v>
      </c>
      <c r="P8" s="18">
        <f>H8-O8</f>
        <v>7268.5599999999995</v>
      </c>
      <c r="Q8" s="10">
        <v>285.52999999999997</v>
      </c>
      <c r="R8" s="10">
        <v>2000</v>
      </c>
      <c r="S8" s="35">
        <f t="shared" si="3"/>
        <v>2285.5299999999997</v>
      </c>
    </row>
    <row r="9" spans="2:19" x14ac:dyDescent="0.25">
      <c r="B9" s="7" t="s">
        <v>26</v>
      </c>
      <c r="C9" s="30"/>
      <c r="D9" s="30"/>
      <c r="E9" s="34">
        <f>SUM(E6:E8)</f>
        <v>31804.95</v>
      </c>
      <c r="F9" s="34"/>
      <c r="G9" s="34">
        <f t="shared" ref="G9" si="4">SUM(G6:G7)</f>
        <v>0</v>
      </c>
      <c r="H9" s="34">
        <f>SUM(H6:H8)</f>
        <v>31804.95</v>
      </c>
      <c r="I9" s="34">
        <f t="shared" ref="I9:S9" si="5">SUM(I6:I8)</f>
        <v>0</v>
      </c>
      <c r="J9" s="34">
        <f t="shared" si="5"/>
        <v>5320.0599999999995</v>
      </c>
      <c r="K9" s="34">
        <f t="shared" si="5"/>
        <v>5320.0599999999995</v>
      </c>
      <c r="L9" s="34">
        <f t="shared" si="5"/>
        <v>0</v>
      </c>
      <c r="M9" s="34">
        <f t="shared" si="5"/>
        <v>0</v>
      </c>
      <c r="N9" s="34">
        <f t="shared" si="5"/>
        <v>3657.5692500000005</v>
      </c>
      <c r="O9" s="34">
        <f t="shared" si="5"/>
        <v>8977.62925</v>
      </c>
      <c r="P9" s="34">
        <f t="shared" si="5"/>
        <v>22827.320749999999</v>
      </c>
      <c r="Q9" s="34">
        <f t="shared" si="5"/>
        <v>867.78</v>
      </c>
      <c r="R9" s="34">
        <f t="shared" si="5"/>
        <v>6360.99</v>
      </c>
      <c r="S9" s="34">
        <f t="shared" si="5"/>
        <v>7228.7699999999995</v>
      </c>
    </row>
    <row r="10" spans="2:19" x14ac:dyDescent="0.25"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2:19" x14ac:dyDescent="0.25">
      <c r="B11" s="2" t="s">
        <v>27</v>
      </c>
      <c r="C11" s="2" t="s">
        <v>28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2:19" x14ac:dyDescent="0.25">
      <c r="B12" t="s">
        <v>32</v>
      </c>
      <c r="C12" s="11" t="s">
        <v>37</v>
      </c>
      <c r="D12" t="s">
        <v>1</v>
      </c>
      <c r="E12" s="15">
        <v>10000</v>
      </c>
      <c r="F12" s="29">
        <v>15</v>
      </c>
      <c r="G12" s="15">
        <v>0</v>
      </c>
      <c r="H12" s="15">
        <f>E12-G12</f>
        <v>10000</v>
      </c>
      <c r="I12" s="15">
        <v>0</v>
      </c>
      <c r="J12" s="15">
        <v>1581.44</v>
      </c>
      <c r="K12" s="15">
        <f>J12-I12</f>
        <v>1581.44</v>
      </c>
      <c r="L12" s="15">
        <v>0</v>
      </c>
      <c r="M12" s="15">
        <v>0</v>
      </c>
      <c r="N12" s="15">
        <f>H12*0.115</f>
        <v>1150</v>
      </c>
      <c r="O12" s="15">
        <f t="shared" ref="O12:O17" si="6">SUM(K12:N12)</f>
        <v>2731.44</v>
      </c>
      <c r="P12" s="18">
        <f t="shared" ref="P12:P19" si="7">H12-O12</f>
        <v>7268.5599999999995</v>
      </c>
      <c r="Q12" s="10">
        <v>285.52999999999997</v>
      </c>
      <c r="R12" s="10">
        <v>2000</v>
      </c>
      <c r="S12" s="35">
        <f>Q12+R12</f>
        <v>2285.5299999999997</v>
      </c>
    </row>
    <row r="13" spans="2:19" x14ac:dyDescent="0.25">
      <c r="B13" t="s">
        <v>33</v>
      </c>
      <c r="C13" s="11" t="s">
        <v>38</v>
      </c>
      <c r="D13" t="s">
        <v>74</v>
      </c>
      <c r="E13" s="15">
        <v>5350</v>
      </c>
      <c r="F13" s="29">
        <v>15</v>
      </c>
      <c r="G13" s="19">
        <v>0</v>
      </c>
      <c r="H13" s="15">
        <f t="shared" ref="H13:H19" si="8">E13-G13</f>
        <v>5350</v>
      </c>
      <c r="I13" s="15">
        <v>0</v>
      </c>
      <c r="J13" s="15">
        <v>588.20000000000005</v>
      </c>
      <c r="K13" s="15">
        <f t="shared" ref="K13:K19" si="9">J13-I13</f>
        <v>588.20000000000005</v>
      </c>
      <c r="L13" s="15">
        <v>0</v>
      </c>
      <c r="M13" s="15">
        <v>0</v>
      </c>
      <c r="N13" s="15">
        <f t="shared" ref="N13:N19" si="10">H13*0.115</f>
        <v>615.25</v>
      </c>
      <c r="O13" s="15">
        <f t="shared" si="6"/>
        <v>1203.45</v>
      </c>
      <c r="P13" s="18">
        <f t="shared" si="7"/>
        <v>4146.55</v>
      </c>
      <c r="Q13" s="10">
        <v>256.68</v>
      </c>
      <c r="R13" s="10">
        <v>1070</v>
      </c>
      <c r="S13" s="35">
        <f>Q13+R13</f>
        <v>1326.68</v>
      </c>
    </row>
    <row r="14" spans="2:19" x14ac:dyDescent="0.25">
      <c r="B14" t="s">
        <v>34</v>
      </c>
      <c r="C14" t="s">
        <v>141</v>
      </c>
      <c r="D14" t="s">
        <v>75</v>
      </c>
      <c r="E14" s="21">
        <v>5350</v>
      </c>
      <c r="F14" s="29">
        <v>15</v>
      </c>
      <c r="G14" s="3">
        <v>0</v>
      </c>
      <c r="H14" s="15">
        <f t="shared" si="8"/>
        <v>5350</v>
      </c>
      <c r="I14" s="3">
        <v>0</v>
      </c>
      <c r="J14" s="3">
        <v>588.20000000000005</v>
      </c>
      <c r="K14" s="15">
        <f t="shared" si="9"/>
        <v>588.20000000000005</v>
      </c>
      <c r="L14" s="3">
        <v>0</v>
      </c>
      <c r="M14" s="3">
        <v>0</v>
      </c>
      <c r="N14" s="15">
        <f t="shared" si="10"/>
        <v>615.25</v>
      </c>
      <c r="O14" s="15">
        <f t="shared" si="6"/>
        <v>1203.45</v>
      </c>
      <c r="P14" s="18">
        <f t="shared" si="7"/>
        <v>4146.55</v>
      </c>
      <c r="Q14" s="27">
        <v>256.68</v>
      </c>
      <c r="R14" s="10">
        <v>1070</v>
      </c>
      <c r="S14" s="35">
        <f>Q14+R14</f>
        <v>1326.68</v>
      </c>
    </row>
    <row r="15" spans="2:19" x14ac:dyDescent="0.25">
      <c r="B15" t="s">
        <v>35</v>
      </c>
      <c r="C15" t="s">
        <v>111</v>
      </c>
      <c r="D15" t="s">
        <v>77</v>
      </c>
      <c r="E15" s="15">
        <v>6000</v>
      </c>
      <c r="F15" s="29">
        <v>15</v>
      </c>
      <c r="G15" s="15">
        <v>0</v>
      </c>
      <c r="H15" s="15">
        <f t="shared" si="8"/>
        <v>6000</v>
      </c>
      <c r="I15" s="15">
        <v>0</v>
      </c>
      <c r="J15" s="15">
        <v>727.04</v>
      </c>
      <c r="K15" s="15">
        <f t="shared" si="9"/>
        <v>727.04</v>
      </c>
      <c r="L15" s="15">
        <v>0</v>
      </c>
      <c r="M15" s="15">
        <v>0</v>
      </c>
      <c r="N15" s="15">
        <f t="shared" si="10"/>
        <v>690</v>
      </c>
      <c r="O15" s="15">
        <f t="shared" si="6"/>
        <v>1417.04</v>
      </c>
      <c r="P15" s="18">
        <f t="shared" si="7"/>
        <v>4582.96</v>
      </c>
      <c r="Q15" s="10">
        <v>260.72000000000003</v>
      </c>
      <c r="R15" s="10">
        <v>1200</v>
      </c>
      <c r="S15" s="35">
        <f>Q15+R15</f>
        <v>1460.72</v>
      </c>
    </row>
    <row r="16" spans="2:19" x14ac:dyDescent="0.25">
      <c r="B16" t="s">
        <v>36</v>
      </c>
      <c r="C16" t="s">
        <v>86</v>
      </c>
      <c r="D16" t="s">
        <v>39</v>
      </c>
      <c r="E16" s="15">
        <v>4500</v>
      </c>
      <c r="F16" s="29">
        <v>15</v>
      </c>
      <c r="G16" s="15">
        <v>0</v>
      </c>
      <c r="H16" s="15">
        <f t="shared" si="8"/>
        <v>4500</v>
      </c>
      <c r="I16" s="15">
        <v>0</v>
      </c>
      <c r="J16" s="15">
        <v>428.97</v>
      </c>
      <c r="K16" s="15">
        <f t="shared" si="9"/>
        <v>428.97</v>
      </c>
      <c r="L16" s="15">
        <v>0</v>
      </c>
      <c r="M16" s="15">
        <v>0</v>
      </c>
      <c r="N16" s="15">
        <f t="shared" si="10"/>
        <v>517.5</v>
      </c>
      <c r="O16" s="15">
        <f t="shared" si="6"/>
        <v>946.47</v>
      </c>
      <c r="P16" s="18">
        <f t="shared" si="7"/>
        <v>3553.5299999999997</v>
      </c>
      <c r="Q16" s="10">
        <v>251.41</v>
      </c>
      <c r="R16" s="10">
        <v>900</v>
      </c>
      <c r="S16" s="35">
        <f>Q16+R16</f>
        <v>1151.4100000000001</v>
      </c>
    </row>
    <row r="17" spans="2:19" x14ac:dyDescent="0.25">
      <c r="B17" t="s">
        <v>115</v>
      </c>
      <c r="C17" t="s">
        <v>87</v>
      </c>
      <c r="D17" t="s">
        <v>39</v>
      </c>
      <c r="E17" s="15">
        <v>4500</v>
      </c>
      <c r="F17" s="29">
        <v>15</v>
      </c>
      <c r="G17" s="15">
        <v>0</v>
      </c>
      <c r="H17" s="15">
        <f t="shared" si="8"/>
        <v>4500</v>
      </c>
      <c r="I17" s="15">
        <v>0</v>
      </c>
      <c r="J17" s="15">
        <v>428.97</v>
      </c>
      <c r="K17" s="15">
        <f t="shared" si="9"/>
        <v>428.97</v>
      </c>
      <c r="L17" s="15">
        <v>0</v>
      </c>
      <c r="M17" s="15">
        <v>0</v>
      </c>
      <c r="N17" s="15">
        <f t="shared" si="10"/>
        <v>517.5</v>
      </c>
      <c r="O17" s="15">
        <f t="shared" si="6"/>
        <v>946.47</v>
      </c>
      <c r="P17" s="18">
        <f t="shared" si="7"/>
        <v>3553.5299999999997</v>
      </c>
      <c r="Q17" s="10">
        <v>251.41</v>
      </c>
      <c r="R17" s="10">
        <v>900</v>
      </c>
      <c r="S17" s="35">
        <f t="shared" ref="S17:S19" si="11">Q17+R17</f>
        <v>1151.4100000000001</v>
      </c>
    </row>
    <row r="18" spans="2:19" x14ac:dyDescent="0.25">
      <c r="B18" t="s">
        <v>116</v>
      </c>
      <c r="C18" t="s">
        <v>89</v>
      </c>
      <c r="D18" t="s">
        <v>4</v>
      </c>
      <c r="E18" s="15">
        <v>2700</v>
      </c>
      <c r="F18" s="29">
        <v>15</v>
      </c>
      <c r="G18" s="15">
        <v>0</v>
      </c>
      <c r="H18" s="15">
        <f t="shared" si="8"/>
        <v>2700</v>
      </c>
      <c r="I18" s="15">
        <v>147.32</v>
      </c>
      <c r="J18" s="15">
        <v>188.33</v>
      </c>
      <c r="K18" s="15">
        <f t="shared" si="9"/>
        <v>41.010000000000019</v>
      </c>
      <c r="L18" s="15">
        <v>0</v>
      </c>
      <c r="M18" s="15">
        <v>0</v>
      </c>
      <c r="N18" s="15">
        <f t="shared" si="10"/>
        <v>310.5</v>
      </c>
      <c r="O18" s="15">
        <f>SUM(K18:N18)</f>
        <v>351.51</v>
      </c>
      <c r="P18" s="18">
        <f t="shared" si="7"/>
        <v>2348.4899999999998</v>
      </c>
      <c r="Q18" s="10">
        <v>240.25</v>
      </c>
      <c r="R18" s="10">
        <v>540</v>
      </c>
      <c r="S18" s="35">
        <f t="shared" si="11"/>
        <v>780.25</v>
      </c>
    </row>
    <row r="19" spans="2:19" x14ac:dyDescent="0.25">
      <c r="B19" t="s">
        <v>117</v>
      </c>
      <c r="C19" t="s">
        <v>88</v>
      </c>
      <c r="D19" t="s">
        <v>40</v>
      </c>
      <c r="E19" s="15">
        <v>3150</v>
      </c>
      <c r="F19" s="29">
        <v>15</v>
      </c>
      <c r="G19" s="15">
        <v>0</v>
      </c>
      <c r="H19" s="15">
        <f t="shared" si="8"/>
        <v>3150</v>
      </c>
      <c r="I19" s="15">
        <v>126.77</v>
      </c>
      <c r="J19" s="15">
        <v>237.29</v>
      </c>
      <c r="K19" s="15">
        <f t="shared" si="9"/>
        <v>110.52</v>
      </c>
      <c r="L19" s="15">
        <v>0</v>
      </c>
      <c r="M19" s="15">
        <v>0</v>
      </c>
      <c r="N19" s="15">
        <f t="shared" si="10"/>
        <v>362.25</v>
      </c>
      <c r="O19" s="15">
        <f>SUM(K19:N19)</f>
        <v>472.77</v>
      </c>
      <c r="P19" s="18">
        <f t="shared" si="7"/>
        <v>2677.23</v>
      </c>
      <c r="Q19" s="10">
        <v>243.04</v>
      </c>
      <c r="R19" s="10">
        <v>630</v>
      </c>
      <c r="S19" s="35">
        <f t="shared" si="11"/>
        <v>873.04</v>
      </c>
    </row>
    <row r="20" spans="2:19" x14ac:dyDescent="0.25">
      <c r="B20" s="2" t="s">
        <v>26</v>
      </c>
      <c r="C20" s="30"/>
      <c r="D20" s="30"/>
      <c r="E20" s="34">
        <f t="shared" ref="E20:S20" si="12">SUM(E12:E19)</f>
        <v>41550</v>
      </c>
      <c r="F20" s="34"/>
      <c r="G20" s="34">
        <f t="shared" si="12"/>
        <v>0</v>
      </c>
      <c r="H20" s="34">
        <f t="shared" si="12"/>
        <v>41550</v>
      </c>
      <c r="I20" s="34">
        <f t="shared" si="12"/>
        <v>274.08999999999997</v>
      </c>
      <c r="J20" s="34">
        <f t="shared" si="12"/>
        <v>4768.4400000000005</v>
      </c>
      <c r="K20" s="34">
        <f t="shared" si="12"/>
        <v>4494.3500000000013</v>
      </c>
      <c r="L20" s="34">
        <f t="shared" si="12"/>
        <v>0</v>
      </c>
      <c r="M20" s="34">
        <f t="shared" si="12"/>
        <v>0</v>
      </c>
      <c r="N20" s="34">
        <f t="shared" si="12"/>
        <v>4778.25</v>
      </c>
      <c r="O20" s="34">
        <f t="shared" si="12"/>
        <v>9272.6</v>
      </c>
      <c r="P20" s="34">
        <f t="shared" si="12"/>
        <v>32277.399999999998</v>
      </c>
      <c r="Q20" s="34">
        <f t="shared" si="12"/>
        <v>2045.7200000000003</v>
      </c>
      <c r="R20" s="34">
        <f t="shared" si="12"/>
        <v>8310</v>
      </c>
      <c r="S20" s="34">
        <f t="shared" si="12"/>
        <v>10355.720000000001</v>
      </c>
    </row>
    <row r="21" spans="2:19" x14ac:dyDescent="0.25">
      <c r="B21" s="2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2:19" x14ac:dyDescent="0.25">
      <c r="B22" s="2" t="s">
        <v>43</v>
      </c>
      <c r="C22" s="2" t="s">
        <v>44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2:19" x14ac:dyDescent="0.25">
      <c r="B23" t="s">
        <v>119</v>
      </c>
      <c r="C23" t="s">
        <v>91</v>
      </c>
      <c r="D23" t="s">
        <v>76</v>
      </c>
      <c r="E23" s="15">
        <v>5350</v>
      </c>
      <c r="F23" s="29">
        <v>15</v>
      </c>
      <c r="G23" s="15">
        <v>0</v>
      </c>
      <c r="H23" s="15">
        <f>E23-G23</f>
        <v>5350</v>
      </c>
      <c r="I23" s="15">
        <v>0</v>
      </c>
      <c r="J23" s="15">
        <v>588.20000000000005</v>
      </c>
      <c r="K23" s="15">
        <f>J23-I23</f>
        <v>588.20000000000005</v>
      </c>
      <c r="L23" s="15">
        <v>0</v>
      </c>
      <c r="M23" s="15">
        <v>0</v>
      </c>
      <c r="N23" s="15">
        <f>H23*0.115</f>
        <v>615.25</v>
      </c>
      <c r="O23" s="15">
        <f>SUM(K23:N23)</f>
        <v>1203.45</v>
      </c>
      <c r="P23" s="18">
        <f>H23-O23</f>
        <v>4146.55</v>
      </c>
      <c r="Q23" s="10">
        <v>256.68</v>
      </c>
      <c r="R23" s="10">
        <v>1070</v>
      </c>
      <c r="S23" s="35">
        <f>Q23+R23</f>
        <v>1326.68</v>
      </c>
    </row>
    <row r="24" spans="2:19" x14ac:dyDescent="0.25">
      <c r="B24" s="2" t="s">
        <v>26</v>
      </c>
      <c r="C24" s="30"/>
      <c r="D24" s="30"/>
      <c r="E24" s="34">
        <f>SUM(E23:E23)</f>
        <v>5350</v>
      </c>
      <c r="F24" s="34"/>
      <c r="G24" s="34">
        <f>G23</f>
        <v>0</v>
      </c>
      <c r="H24" s="34">
        <f t="shared" ref="H24:S24" si="13">SUM(H23:H23)</f>
        <v>5350</v>
      </c>
      <c r="I24" s="34">
        <f t="shared" si="13"/>
        <v>0</v>
      </c>
      <c r="J24" s="34">
        <f t="shared" si="13"/>
        <v>588.20000000000005</v>
      </c>
      <c r="K24" s="34">
        <f t="shared" si="13"/>
        <v>588.20000000000005</v>
      </c>
      <c r="L24" s="34">
        <f t="shared" si="13"/>
        <v>0</v>
      </c>
      <c r="M24" s="34">
        <f t="shared" si="13"/>
        <v>0</v>
      </c>
      <c r="N24" s="34">
        <f t="shared" si="13"/>
        <v>615.25</v>
      </c>
      <c r="O24" s="34">
        <f t="shared" si="13"/>
        <v>1203.45</v>
      </c>
      <c r="P24" s="34">
        <f t="shared" si="13"/>
        <v>4146.55</v>
      </c>
      <c r="Q24" s="34">
        <f t="shared" si="13"/>
        <v>256.68</v>
      </c>
      <c r="R24" s="34">
        <f t="shared" si="13"/>
        <v>1070</v>
      </c>
      <c r="S24" s="34">
        <f t="shared" si="13"/>
        <v>1326.68</v>
      </c>
    </row>
    <row r="25" spans="2:19" x14ac:dyDescent="0.25"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2:19" x14ac:dyDescent="0.25">
      <c r="B26" s="2" t="s">
        <v>50</v>
      </c>
      <c r="C26" s="2" t="s">
        <v>47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2:19" x14ac:dyDescent="0.25">
      <c r="B27" t="s">
        <v>120</v>
      </c>
      <c r="C27" t="s">
        <v>93</v>
      </c>
      <c r="D27" t="s">
        <v>78</v>
      </c>
      <c r="E27" s="15">
        <v>5350</v>
      </c>
      <c r="F27" s="29">
        <v>15</v>
      </c>
      <c r="G27" s="15">
        <v>0</v>
      </c>
      <c r="H27" s="15">
        <f>E27-G27</f>
        <v>5350</v>
      </c>
      <c r="I27" s="15">
        <v>0</v>
      </c>
      <c r="J27" s="15">
        <v>588.20000000000005</v>
      </c>
      <c r="K27" s="15">
        <f>J27-I27</f>
        <v>588.20000000000005</v>
      </c>
      <c r="L27" s="15">
        <v>0</v>
      </c>
      <c r="M27" s="15">
        <v>0</v>
      </c>
      <c r="N27" s="15">
        <f>H27*0.115</f>
        <v>615.25</v>
      </c>
      <c r="O27" s="15">
        <f>SUM(K27:N27)</f>
        <v>1203.45</v>
      </c>
      <c r="P27" s="18">
        <f>H27-O27</f>
        <v>4146.55</v>
      </c>
      <c r="Q27" s="10">
        <v>256.68</v>
      </c>
      <c r="R27" s="10">
        <v>1070</v>
      </c>
      <c r="S27" s="35">
        <f>Q27+R27</f>
        <v>1326.68</v>
      </c>
    </row>
    <row r="28" spans="2:19" x14ac:dyDescent="0.25">
      <c r="B28" t="s">
        <v>121</v>
      </c>
      <c r="C28" t="s">
        <v>114</v>
      </c>
      <c r="D28" t="s">
        <v>79</v>
      </c>
      <c r="E28" s="15">
        <v>5350</v>
      </c>
      <c r="F28" s="29">
        <v>15</v>
      </c>
      <c r="G28" s="15">
        <v>0</v>
      </c>
      <c r="H28" s="15">
        <f>E28-G28</f>
        <v>5350</v>
      </c>
      <c r="I28" s="15">
        <v>0</v>
      </c>
      <c r="J28" s="15">
        <v>588.20000000000005</v>
      </c>
      <c r="K28" s="15">
        <f>J28-I28</f>
        <v>588.20000000000005</v>
      </c>
      <c r="L28" s="15">
        <v>0</v>
      </c>
      <c r="M28" s="15">
        <v>0</v>
      </c>
      <c r="N28" s="15">
        <f>H28*0.115</f>
        <v>615.25</v>
      </c>
      <c r="O28" s="15">
        <f>SUM(K28:N28)</f>
        <v>1203.45</v>
      </c>
      <c r="P28" s="18">
        <f>H28-O28</f>
        <v>4146.55</v>
      </c>
      <c r="Q28" s="10">
        <v>256.68</v>
      </c>
      <c r="R28" s="10">
        <v>1070</v>
      </c>
      <c r="S28" s="35">
        <f>Q28+R28</f>
        <v>1326.68</v>
      </c>
    </row>
    <row r="29" spans="2:19" x14ac:dyDescent="0.25">
      <c r="B29" s="2" t="s">
        <v>26</v>
      </c>
      <c r="C29" s="30"/>
      <c r="D29" s="30"/>
      <c r="E29" s="34">
        <f>SUM(E27:E28)</f>
        <v>10700</v>
      </c>
      <c r="F29" s="34"/>
      <c r="G29" s="34">
        <f>SUM(G27:G28)</f>
        <v>0</v>
      </c>
      <c r="H29" s="34">
        <f>SUM(H27:H28)</f>
        <v>10700</v>
      </c>
      <c r="I29" s="34">
        <f t="shared" ref="I29:S29" si="14">SUM(I27:I28)</f>
        <v>0</v>
      </c>
      <c r="J29" s="34">
        <f t="shared" si="14"/>
        <v>1176.4000000000001</v>
      </c>
      <c r="K29" s="34">
        <f t="shared" si="14"/>
        <v>1176.4000000000001</v>
      </c>
      <c r="L29" s="34">
        <f t="shared" si="14"/>
        <v>0</v>
      </c>
      <c r="M29" s="34">
        <f t="shared" si="14"/>
        <v>0</v>
      </c>
      <c r="N29" s="34">
        <f t="shared" si="14"/>
        <v>1230.5</v>
      </c>
      <c r="O29" s="34">
        <f t="shared" si="14"/>
        <v>2406.9</v>
      </c>
      <c r="P29" s="34">
        <f t="shared" si="14"/>
        <v>8293.1</v>
      </c>
      <c r="Q29" s="34">
        <f t="shared" si="14"/>
        <v>513.36</v>
      </c>
      <c r="R29" s="34">
        <f t="shared" si="14"/>
        <v>2140</v>
      </c>
      <c r="S29" s="34">
        <f t="shared" si="14"/>
        <v>2653.36</v>
      </c>
    </row>
    <row r="30" spans="2:19" x14ac:dyDescent="0.25"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2:19" x14ac:dyDescent="0.25">
      <c r="B31" s="2" t="s">
        <v>63</v>
      </c>
      <c r="C31" s="2" t="s">
        <v>51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2:19" x14ac:dyDescent="0.25">
      <c r="B32" t="s">
        <v>122</v>
      </c>
      <c r="C32" t="s">
        <v>97</v>
      </c>
      <c r="D32" t="s">
        <v>80</v>
      </c>
      <c r="E32" s="15">
        <v>5350</v>
      </c>
      <c r="F32" s="29">
        <v>15</v>
      </c>
      <c r="G32" s="15">
        <v>0</v>
      </c>
      <c r="H32" s="15">
        <f>E32-G32</f>
        <v>5350</v>
      </c>
      <c r="I32" s="15">
        <v>0</v>
      </c>
      <c r="J32" s="15">
        <v>588.20000000000005</v>
      </c>
      <c r="K32" s="15">
        <f>J32-I32</f>
        <v>588.20000000000005</v>
      </c>
      <c r="L32" s="15">
        <v>0</v>
      </c>
      <c r="M32" s="15">
        <v>0</v>
      </c>
      <c r="N32" s="15">
        <f>H32*0.115</f>
        <v>615.25</v>
      </c>
      <c r="O32" s="15">
        <f>SUM(K32:N32)</f>
        <v>1203.45</v>
      </c>
      <c r="P32" s="18">
        <f t="shared" ref="P32:P42" si="15">H32-O32</f>
        <v>4146.55</v>
      </c>
      <c r="Q32" s="10">
        <v>256.68</v>
      </c>
      <c r="R32" s="10">
        <v>1070</v>
      </c>
      <c r="S32" s="35">
        <f t="shared" ref="S32:S42" si="16">Q32+R32</f>
        <v>1326.68</v>
      </c>
    </row>
    <row r="33" spans="2:19" x14ac:dyDescent="0.25">
      <c r="B33" t="s">
        <v>123</v>
      </c>
      <c r="C33" t="s">
        <v>100</v>
      </c>
      <c r="D33" t="s">
        <v>80</v>
      </c>
      <c r="E33" s="15">
        <v>5350</v>
      </c>
      <c r="F33" s="29">
        <v>15</v>
      </c>
      <c r="G33" s="15">
        <v>0</v>
      </c>
      <c r="H33" s="15">
        <f t="shared" ref="H33:H42" si="17">E33-G33</f>
        <v>5350</v>
      </c>
      <c r="I33" s="15">
        <v>0</v>
      </c>
      <c r="J33" s="15">
        <v>588.20000000000005</v>
      </c>
      <c r="K33" s="15">
        <f t="shared" ref="K33:K42" si="18">J33-I33</f>
        <v>588.20000000000005</v>
      </c>
      <c r="L33" s="15">
        <v>0</v>
      </c>
      <c r="M33" s="15">
        <v>0</v>
      </c>
      <c r="N33" s="15">
        <f t="shared" ref="N33:N42" si="19">H33*0.115</f>
        <v>615.25</v>
      </c>
      <c r="O33" s="15">
        <f t="shared" ref="O33:O42" si="20">SUM(K33:N33)</f>
        <v>1203.45</v>
      </c>
      <c r="P33" s="18">
        <f t="shared" si="15"/>
        <v>4146.55</v>
      </c>
      <c r="Q33" s="10">
        <v>256.68</v>
      </c>
      <c r="R33" s="10">
        <v>1070</v>
      </c>
      <c r="S33" s="35">
        <f t="shared" si="16"/>
        <v>1326.68</v>
      </c>
    </row>
    <row r="34" spans="2:19" x14ac:dyDescent="0.25">
      <c r="B34" t="s">
        <v>124</v>
      </c>
      <c r="C34" t="s">
        <v>96</v>
      </c>
      <c r="D34" t="s">
        <v>78</v>
      </c>
      <c r="E34" s="15">
        <v>5350</v>
      </c>
      <c r="F34" s="29">
        <v>15</v>
      </c>
      <c r="G34" s="15">
        <v>0</v>
      </c>
      <c r="H34" s="15">
        <f t="shared" si="17"/>
        <v>5350</v>
      </c>
      <c r="I34" s="15">
        <v>0</v>
      </c>
      <c r="J34" s="15">
        <v>588.20000000000005</v>
      </c>
      <c r="K34" s="15">
        <f t="shared" si="18"/>
        <v>588.20000000000005</v>
      </c>
      <c r="L34" s="15">
        <v>0</v>
      </c>
      <c r="M34" s="15">
        <v>0</v>
      </c>
      <c r="N34" s="15">
        <f t="shared" si="19"/>
        <v>615.25</v>
      </c>
      <c r="O34" s="15">
        <f t="shared" si="20"/>
        <v>1203.45</v>
      </c>
      <c r="P34" s="18">
        <f t="shared" si="15"/>
        <v>4146.55</v>
      </c>
      <c r="Q34" s="10">
        <v>256.68</v>
      </c>
      <c r="R34" s="10">
        <v>1070</v>
      </c>
      <c r="S34" s="35">
        <f t="shared" si="16"/>
        <v>1326.68</v>
      </c>
    </row>
    <row r="35" spans="2:19" x14ac:dyDescent="0.25">
      <c r="B35" t="s">
        <v>125</v>
      </c>
      <c r="C35" t="s">
        <v>104</v>
      </c>
      <c r="D35" t="s">
        <v>78</v>
      </c>
      <c r="E35" s="15">
        <v>5350</v>
      </c>
      <c r="F35" s="29">
        <v>15</v>
      </c>
      <c r="G35" s="15">
        <v>0</v>
      </c>
      <c r="H35" s="15">
        <f t="shared" si="17"/>
        <v>5350</v>
      </c>
      <c r="I35" s="15">
        <v>0</v>
      </c>
      <c r="J35" s="15">
        <v>588.20000000000005</v>
      </c>
      <c r="K35" s="15">
        <f t="shared" si="18"/>
        <v>588.20000000000005</v>
      </c>
      <c r="L35" s="15">
        <v>0</v>
      </c>
      <c r="M35" s="15">
        <v>0</v>
      </c>
      <c r="N35" s="15">
        <f t="shared" si="19"/>
        <v>615.25</v>
      </c>
      <c r="O35" s="15">
        <f t="shared" si="20"/>
        <v>1203.45</v>
      </c>
      <c r="P35" s="18">
        <f t="shared" si="15"/>
        <v>4146.55</v>
      </c>
      <c r="Q35" s="10">
        <v>256.68</v>
      </c>
      <c r="R35" s="10">
        <v>1070</v>
      </c>
      <c r="S35" s="35">
        <f t="shared" si="16"/>
        <v>1326.68</v>
      </c>
    </row>
    <row r="36" spans="2:19" x14ac:dyDescent="0.25">
      <c r="B36" t="s">
        <v>126</v>
      </c>
      <c r="C36" t="s">
        <v>94</v>
      </c>
      <c r="D36" t="s">
        <v>81</v>
      </c>
      <c r="E36" s="15">
        <v>5350</v>
      </c>
      <c r="F36" s="29">
        <v>15</v>
      </c>
      <c r="G36" s="15">
        <v>0</v>
      </c>
      <c r="H36" s="15">
        <f t="shared" si="17"/>
        <v>5350</v>
      </c>
      <c r="I36" s="15">
        <v>0</v>
      </c>
      <c r="J36" s="15">
        <v>588.20000000000005</v>
      </c>
      <c r="K36" s="15">
        <f t="shared" si="18"/>
        <v>588.20000000000005</v>
      </c>
      <c r="L36" s="15">
        <v>0</v>
      </c>
      <c r="M36" s="15">
        <v>0</v>
      </c>
      <c r="N36" s="15">
        <f t="shared" si="19"/>
        <v>615.25</v>
      </c>
      <c r="O36" s="15">
        <f t="shared" si="20"/>
        <v>1203.45</v>
      </c>
      <c r="P36" s="18">
        <f t="shared" si="15"/>
        <v>4146.55</v>
      </c>
      <c r="Q36" s="10">
        <v>256.68</v>
      </c>
      <c r="R36" s="10">
        <v>1070</v>
      </c>
      <c r="S36" s="35">
        <f t="shared" si="16"/>
        <v>1326.68</v>
      </c>
    </row>
    <row r="37" spans="2:19" x14ac:dyDescent="0.25">
      <c r="B37" t="s">
        <v>127</v>
      </c>
      <c r="C37" t="s">
        <v>98</v>
      </c>
      <c r="D37" t="s">
        <v>81</v>
      </c>
      <c r="E37" s="15">
        <v>5350</v>
      </c>
      <c r="F37" s="29">
        <v>15</v>
      </c>
      <c r="G37" s="15">
        <v>0</v>
      </c>
      <c r="H37" s="15">
        <f t="shared" si="17"/>
        <v>5350</v>
      </c>
      <c r="I37" s="15">
        <v>0</v>
      </c>
      <c r="J37" s="15">
        <v>588.20000000000005</v>
      </c>
      <c r="K37" s="15">
        <f t="shared" si="18"/>
        <v>588.20000000000005</v>
      </c>
      <c r="L37" s="15">
        <v>0</v>
      </c>
      <c r="M37" s="15">
        <v>0</v>
      </c>
      <c r="N37" s="15">
        <f t="shared" si="19"/>
        <v>615.25</v>
      </c>
      <c r="O37" s="15">
        <f t="shared" si="20"/>
        <v>1203.45</v>
      </c>
      <c r="P37" s="18">
        <f t="shared" si="15"/>
        <v>4146.55</v>
      </c>
      <c r="Q37" s="10">
        <v>256.68</v>
      </c>
      <c r="R37" s="10">
        <v>1070</v>
      </c>
      <c r="S37" s="35">
        <f t="shared" si="16"/>
        <v>1326.68</v>
      </c>
    </row>
    <row r="38" spans="2:19" x14ac:dyDescent="0.25">
      <c r="B38" t="s">
        <v>128</v>
      </c>
      <c r="C38" t="s">
        <v>101</v>
      </c>
      <c r="D38" t="s">
        <v>81</v>
      </c>
      <c r="E38" s="15">
        <v>5350</v>
      </c>
      <c r="F38" s="29">
        <v>15</v>
      </c>
      <c r="G38" s="15">
        <v>0</v>
      </c>
      <c r="H38" s="15">
        <f t="shared" si="17"/>
        <v>5350</v>
      </c>
      <c r="I38" s="15">
        <v>0</v>
      </c>
      <c r="J38" s="15">
        <v>588.20000000000005</v>
      </c>
      <c r="K38" s="15">
        <f t="shared" si="18"/>
        <v>588.20000000000005</v>
      </c>
      <c r="L38" s="15">
        <v>0</v>
      </c>
      <c r="M38" s="15">
        <v>0</v>
      </c>
      <c r="N38" s="15">
        <f t="shared" si="19"/>
        <v>615.25</v>
      </c>
      <c r="O38" s="15">
        <f t="shared" si="20"/>
        <v>1203.45</v>
      </c>
      <c r="P38" s="18">
        <f t="shared" si="15"/>
        <v>4146.55</v>
      </c>
      <c r="Q38" s="10">
        <v>256.68</v>
      </c>
      <c r="R38" s="10">
        <v>1070</v>
      </c>
      <c r="S38" s="35">
        <f t="shared" si="16"/>
        <v>1326.68</v>
      </c>
    </row>
    <row r="39" spans="2:19" x14ac:dyDescent="0.25">
      <c r="B39" t="s">
        <v>129</v>
      </c>
      <c r="C39" t="s">
        <v>95</v>
      </c>
      <c r="D39" t="s">
        <v>82</v>
      </c>
      <c r="E39" s="15">
        <v>5350</v>
      </c>
      <c r="F39" s="29">
        <v>15</v>
      </c>
      <c r="G39" s="15">
        <v>0</v>
      </c>
      <c r="H39" s="15">
        <f t="shared" si="17"/>
        <v>5350</v>
      </c>
      <c r="I39" s="15">
        <v>0</v>
      </c>
      <c r="J39" s="15">
        <v>588.20000000000005</v>
      </c>
      <c r="K39" s="15">
        <f t="shared" si="18"/>
        <v>588.20000000000005</v>
      </c>
      <c r="L39" s="15">
        <v>0</v>
      </c>
      <c r="M39" s="15">
        <v>0</v>
      </c>
      <c r="N39" s="15">
        <f t="shared" si="19"/>
        <v>615.25</v>
      </c>
      <c r="O39" s="15">
        <f t="shared" si="20"/>
        <v>1203.45</v>
      </c>
      <c r="P39" s="18">
        <f t="shared" si="15"/>
        <v>4146.55</v>
      </c>
      <c r="Q39" s="10">
        <v>256.68</v>
      </c>
      <c r="R39" s="10">
        <v>1070</v>
      </c>
      <c r="S39" s="35">
        <f t="shared" si="16"/>
        <v>1326.68</v>
      </c>
    </row>
    <row r="40" spans="2:19" x14ac:dyDescent="0.25">
      <c r="B40" t="s">
        <v>130</v>
      </c>
      <c r="C40" t="s">
        <v>102</v>
      </c>
      <c r="D40" t="s">
        <v>82</v>
      </c>
      <c r="E40" s="15">
        <v>5350</v>
      </c>
      <c r="F40" s="29">
        <v>15</v>
      </c>
      <c r="G40" s="15">
        <v>0</v>
      </c>
      <c r="H40" s="15">
        <f t="shared" si="17"/>
        <v>5350</v>
      </c>
      <c r="I40" s="15">
        <v>0</v>
      </c>
      <c r="J40" s="15">
        <v>588.20000000000005</v>
      </c>
      <c r="K40" s="15">
        <f t="shared" si="18"/>
        <v>588.20000000000005</v>
      </c>
      <c r="L40" s="15">
        <v>0</v>
      </c>
      <c r="M40" s="15">
        <v>0</v>
      </c>
      <c r="N40" s="15">
        <f t="shared" si="19"/>
        <v>615.25</v>
      </c>
      <c r="O40" s="15">
        <f t="shared" si="20"/>
        <v>1203.45</v>
      </c>
      <c r="P40" s="18">
        <f t="shared" si="15"/>
        <v>4146.55</v>
      </c>
      <c r="Q40" s="10">
        <v>256.68</v>
      </c>
      <c r="R40" s="10">
        <v>1070</v>
      </c>
      <c r="S40" s="35">
        <f t="shared" si="16"/>
        <v>1326.68</v>
      </c>
    </row>
    <row r="41" spans="2:19" x14ac:dyDescent="0.25">
      <c r="B41" t="s">
        <v>131</v>
      </c>
      <c r="C41" t="s">
        <v>85</v>
      </c>
      <c r="D41" t="s">
        <v>83</v>
      </c>
      <c r="E41" s="15">
        <v>5350</v>
      </c>
      <c r="F41" s="29">
        <v>15</v>
      </c>
      <c r="G41" s="15">
        <v>0</v>
      </c>
      <c r="H41" s="15">
        <f t="shared" si="17"/>
        <v>5350</v>
      </c>
      <c r="I41" s="15">
        <v>0</v>
      </c>
      <c r="J41" s="15">
        <v>588.20000000000005</v>
      </c>
      <c r="K41" s="15">
        <f t="shared" si="18"/>
        <v>588.20000000000005</v>
      </c>
      <c r="L41" s="15">
        <v>0</v>
      </c>
      <c r="M41" s="15">
        <v>0</v>
      </c>
      <c r="N41" s="15">
        <f t="shared" si="19"/>
        <v>615.25</v>
      </c>
      <c r="O41" s="15">
        <f t="shared" si="20"/>
        <v>1203.45</v>
      </c>
      <c r="P41" s="18">
        <f t="shared" si="15"/>
        <v>4146.55</v>
      </c>
      <c r="Q41" s="10">
        <v>256.68</v>
      </c>
      <c r="R41" s="10">
        <v>1070</v>
      </c>
      <c r="S41" s="35">
        <f t="shared" si="16"/>
        <v>1326.68</v>
      </c>
    </row>
    <row r="42" spans="2:19" x14ac:dyDescent="0.25">
      <c r="B42" t="s">
        <v>132</v>
      </c>
      <c r="C42" t="s">
        <v>103</v>
      </c>
      <c r="D42" t="s">
        <v>83</v>
      </c>
      <c r="E42" s="15">
        <v>5350</v>
      </c>
      <c r="F42" s="29">
        <v>15</v>
      </c>
      <c r="G42" s="15">
        <v>0</v>
      </c>
      <c r="H42" s="15">
        <f t="shared" si="17"/>
        <v>5350</v>
      </c>
      <c r="I42" s="15">
        <v>0</v>
      </c>
      <c r="J42" s="15">
        <v>588.20000000000005</v>
      </c>
      <c r="K42" s="15">
        <f t="shared" si="18"/>
        <v>588.20000000000005</v>
      </c>
      <c r="L42" s="15">
        <v>0</v>
      </c>
      <c r="M42" s="15">
        <v>0</v>
      </c>
      <c r="N42" s="15">
        <f t="shared" si="19"/>
        <v>615.25</v>
      </c>
      <c r="O42" s="15">
        <f t="shared" si="20"/>
        <v>1203.45</v>
      </c>
      <c r="P42" s="18">
        <f t="shared" si="15"/>
        <v>4146.55</v>
      </c>
      <c r="Q42" s="10">
        <v>256.68</v>
      </c>
      <c r="R42" s="10">
        <v>1070</v>
      </c>
      <c r="S42" s="35">
        <f t="shared" si="16"/>
        <v>1326.68</v>
      </c>
    </row>
    <row r="43" spans="2:19" x14ac:dyDescent="0.25">
      <c r="B43" s="2" t="s">
        <v>26</v>
      </c>
      <c r="C43" s="30"/>
      <c r="D43" s="30"/>
      <c r="E43" s="34">
        <f>SUM(E32:E42)</f>
        <v>58850</v>
      </c>
      <c r="F43" s="34"/>
      <c r="G43" s="34">
        <f>SUM(G32:G42)</f>
        <v>0</v>
      </c>
      <c r="H43" s="34">
        <f>SUM(H32:H42)</f>
        <v>58850</v>
      </c>
      <c r="I43" s="34">
        <f t="shared" ref="I43:S43" si="21">SUM(I32:I42)</f>
        <v>0</v>
      </c>
      <c r="J43" s="34">
        <f t="shared" si="21"/>
        <v>6470.1999999999989</v>
      </c>
      <c r="K43" s="34">
        <f t="shared" si="21"/>
        <v>6470.1999999999989</v>
      </c>
      <c r="L43" s="34">
        <f t="shared" si="21"/>
        <v>0</v>
      </c>
      <c r="M43" s="34">
        <f t="shared" si="21"/>
        <v>0</v>
      </c>
      <c r="N43" s="34">
        <f t="shared" si="21"/>
        <v>6767.75</v>
      </c>
      <c r="O43" s="34">
        <f t="shared" si="21"/>
        <v>13237.950000000003</v>
      </c>
      <c r="P43" s="34">
        <f t="shared" si="21"/>
        <v>45612.05000000001</v>
      </c>
      <c r="Q43" s="34">
        <f t="shared" si="21"/>
        <v>2823.4799999999996</v>
      </c>
      <c r="R43" s="34">
        <f t="shared" si="21"/>
        <v>11770</v>
      </c>
      <c r="S43" s="34">
        <f t="shared" si="21"/>
        <v>14593.480000000001</v>
      </c>
    </row>
    <row r="44" spans="2:19" x14ac:dyDescent="0.25"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2:19" x14ac:dyDescent="0.25">
      <c r="B45" s="2" t="s">
        <v>140</v>
      </c>
      <c r="C45" s="2" t="s">
        <v>64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2:19" x14ac:dyDescent="0.25">
      <c r="B46" t="s">
        <v>133</v>
      </c>
      <c r="C46" t="s">
        <v>99</v>
      </c>
      <c r="D46" t="s">
        <v>80</v>
      </c>
      <c r="E46" s="15">
        <v>5350</v>
      </c>
      <c r="F46" s="29">
        <v>15</v>
      </c>
      <c r="G46" s="15">
        <v>48.4</v>
      </c>
      <c r="H46" s="15">
        <f>E46-G46</f>
        <v>5301.6</v>
      </c>
      <c r="I46" s="15">
        <v>0</v>
      </c>
      <c r="J46" s="15">
        <v>583.03</v>
      </c>
      <c r="K46" s="15">
        <f>J46-I46</f>
        <v>583.03</v>
      </c>
      <c r="L46" s="15">
        <v>0</v>
      </c>
      <c r="M46" s="15">
        <v>0</v>
      </c>
      <c r="N46" s="15">
        <f>H46*0.115</f>
        <v>609.68400000000008</v>
      </c>
      <c r="O46" s="15">
        <f>SUM(K46:N46)</f>
        <v>1192.7139999999999</v>
      </c>
      <c r="P46" s="18">
        <f>H46-O46</f>
        <v>4108.8860000000004</v>
      </c>
      <c r="Q46" s="10">
        <v>256.68</v>
      </c>
      <c r="R46" s="10">
        <v>1070</v>
      </c>
      <c r="S46" s="35">
        <f t="shared" ref="S46:S47" si="22">Q46+R46</f>
        <v>1326.68</v>
      </c>
    </row>
    <row r="47" spans="2:19" x14ac:dyDescent="0.25">
      <c r="B47" t="s">
        <v>152</v>
      </c>
      <c r="C47" t="s">
        <v>92</v>
      </c>
      <c r="D47" t="s">
        <v>80</v>
      </c>
      <c r="E47" s="15">
        <v>5350</v>
      </c>
      <c r="F47" s="29">
        <v>15</v>
      </c>
      <c r="G47" s="15">
        <v>0</v>
      </c>
      <c r="H47" s="15">
        <f>E47-G47</f>
        <v>5350</v>
      </c>
      <c r="I47" s="15">
        <v>0</v>
      </c>
      <c r="J47" s="15">
        <v>588.20000000000005</v>
      </c>
      <c r="K47" s="15">
        <v>588.20000000000005</v>
      </c>
      <c r="L47" s="15">
        <v>0</v>
      </c>
      <c r="M47" s="15">
        <v>0</v>
      </c>
      <c r="N47" s="15">
        <f>H47*0.115</f>
        <v>615.25</v>
      </c>
      <c r="O47" s="15">
        <f>SUM(K47:N47)</f>
        <v>1203.45</v>
      </c>
      <c r="P47" s="18">
        <f>H47-O47</f>
        <v>4146.55</v>
      </c>
      <c r="Q47" s="10">
        <v>256.68</v>
      </c>
      <c r="R47" s="10">
        <v>1070</v>
      </c>
      <c r="S47" s="35">
        <f t="shared" si="22"/>
        <v>1326.68</v>
      </c>
    </row>
    <row r="48" spans="2:19" x14ac:dyDescent="0.25">
      <c r="B48" s="2" t="s">
        <v>26</v>
      </c>
      <c r="C48" s="30"/>
      <c r="D48" s="30"/>
      <c r="E48" s="34">
        <f>E46+E47</f>
        <v>10700</v>
      </c>
      <c r="F48" s="34"/>
      <c r="G48" s="34">
        <f>G46+G47</f>
        <v>48.4</v>
      </c>
      <c r="H48" s="34">
        <f t="shared" ref="H48:S48" si="23">H46+H47</f>
        <v>10651.6</v>
      </c>
      <c r="I48" s="34">
        <f t="shared" si="23"/>
        <v>0</v>
      </c>
      <c r="J48" s="34">
        <f t="shared" si="23"/>
        <v>1171.23</v>
      </c>
      <c r="K48" s="34">
        <f t="shared" si="23"/>
        <v>1171.23</v>
      </c>
      <c r="L48" s="34">
        <f t="shared" si="23"/>
        <v>0</v>
      </c>
      <c r="M48" s="34">
        <f t="shared" si="23"/>
        <v>0</v>
      </c>
      <c r="N48" s="34">
        <f t="shared" si="23"/>
        <v>1224.9340000000002</v>
      </c>
      <c r="O48" s="34">
        <f t="shared" si="23"/>
        <v>2396.1639999999998</v>
      </c>
      <c r="P48" s="34">
        <f t="shared" si="23"/>
        <v>8255.4360000000015</v>
      </c>
      <c r="Q48" s="34">
        <f t="shared" si="23"/>
        <v>513.36</v>
      </c>
      <c r="R48" s="34">
        <f t="shared" si="23"/>
        <v>2140</v>
      </c>
      <c r="S48" s="34">
        <f t="shared" si="23"/>
        <v>2653.36</v>
      </c>
    </row>
    <row r="49" spans="2:19" x14ac:dyDescent="0.25">
      <c r="B49" s="2"/>
      <c r="E49" s="15"/>
      <c r="F49" s="15"/>
      <c r="G49" s="15"/>
      <c r="H49" s="16"/>
      <c r="I49" s="16"/>
      <c r="J49" s="16"/>
      <c r="K49" s="16"/>
      <c r="L49" s="16"/>
      <c r="M49" s="16"/>
      <c r="N49" s="16"/>
      <c r="O49" s="16"/>
      <c r="P49" s="16"/>
      <c r="Q49" s="8"/>
      <c r="R49" s="8"/>
      <c r="S49" s="8"/>
    </row>
    <row r="51" spans="2:19" ht="18.75" x14ac:dyDescent="0.3">
      <c r="D51" s="4" t="s">
        <v>105</v>
      </c>
      <c r="E51" s="17">
        <f>E9+E20+E24+E29+E43+E48</f>
        <v>158954.95000000001</v>
      </c>
      <c r="F51" s="17"/>
      <c r="G51" s="17">
        <f>G9+G20+G24+G29+G43+G48</f>
        <v>48.4</v>
      </c>
      <c r="H51" s="17">
        <f t="shared" ref="H51:S51" si="24">H9+H20+H24+H29+H43+H48</f>
        <v>158906.55000000002</v>
      </c>
      <c r="I51" s="17">
        <f t="shared" si="24"/>
        <v>274.08999999999997</v>
      </c>
      <c r="J51" s="17">
        <f t="shared" si="24"/>
        <v>19494.53</v>
      </c>
      <c r="K51" s="17">
        <f t="shared" si="24"/>
        <v>19220.439999999999</v>
      </c>
      <c r="L51" s="17">
        <f t="shared" si="24"/>
        <v>0</v>
      </c>
      <c r="M51" s="17">
        <f t="shared" si="24"/>
        <v>0</v>
      </c>
      <c r="N51" s="17">
        <f t="shared" si="24"/>
        <v>18274.253250000002</v>
      </c>
      <c r="O51" s="17">
        <f t="shared" si="24"/>
        <v>37494.693250000004</v>
      </c>
      <c r="P51" s="17">
        <f t="shared" si="24"/>
        <v>121411.85675000002</v>
      </c>
      <c r="Q51" s="17">
        <f t="shared" si="24"/>
        <v>7020.3799999999992</v>
      </c>
      <c r="R51" s="17">
        <f t="shared" si="24"/>
        <v>31790.989999999998</v>
      </c>
      <c r="S51" s="17">
        <f t="shared" si="24"/>
        <v>38811.370000000003</v>
      </c>
    </row>
    <row r="55" spans="2:19" ht="15.75" thickBot="1" x14ac:dyDescent="0.3">
      <c r="E55" s="375"/>
      <c r="F55" s="375"/>
      <c r="N55" s="375"/>
      <c r="O55" s="375"/>
    </row>
    <row r="57" spans="2:19" x14ac:dyDescent="0.25">
      <c r="E57" s="377" t="s">
        <v>146</v>
      </c>
      <c r="F57" s="377"/>
      <c r="N57" s="377" t="s">
        <v>157</v>
      </c>
      <c r="O57" s="377"/>
    </row>
  </sheetData>
  <mergeCells count="6">
    <mergeCell ref="C2:D2"/>
    <mergeCell ref="E3:S3"/>
    <mergeCell ref="E55:F55"/>
    <mergeCell ref="N55:O55"/>
    <mergeCell ref="E57:F57"/>
    <mergeCell ref="N57:O57"/>
  </mergeCells>
  <pageMargins left="0.70866141732283472" right="0.70866141732283472" top="0.74803149606299213" bottom="0.74803149606299213" header="0.31496062992125984" footer="0.31496062992125984"/>
  <pageSetup paperSize="300" scale="57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57"/>
  <sheetViews>
    <sheetView topLeftCell="C28" workbookViewId="0">
      <selection activeCell="P11" sqref="P11"/>
    </sheetView>
  </sheetViews>
  <sheetFormatPr baseColWidth="10" defaultRowHeight="15" x14ac:dyDescent="0.25"/>
  <cols>
    <col min="1" max="1" width="11.42578125" customWidth="1"/>
    <col min="2" max="2" width="16.5703125" customWidth="1"/>
    <col min="3" max="3" width="34.140625" customWidth="1"/>
    <col min="4" max="4" width="29.85546875" customWidth="1"/>
    <col min="5" max="5" width="18.42578125" customWidth="1"/>
    <col min="8" max="8" width="21" customWidth="1"/>
    <col min="9" max="9" width="0" hidden="1" customWidth="1"/>
    <col min="10" max="10" width="14.5703125" hidden="1" customWidth="1"/>
    <col min="11" max="11" width="13.42578125" customWidth="1"/>
    <col min="12" max="13" width="0" hidden="1" customWidth="1"/>
    <col min="14" max="14" width="14" customWidth="1"/>
    <col min="15" max="15" width="18.5703125" customWidth="1"/>
    <col min="16" max="16" width="16.85546875" customWidth="1"/>
    <col min="17" max="17" width="14" customWidth="1"/>
    <col min="18" max="18" width="15.7109375" customWidth="1"/>
    <col min="19" max="19" width="17" customWidth="1"/>
  </cols>
  <sheetData>
    <row r="2" spans="2:19" ht="18.75" x14ac:dyDescent="0.25">
      <c r="C2" s="372" t="s">
        <v>164</v>
      </c>
      <c r="D2" s="372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2:19" ht="26.25" customHeight="1" thickBot="1" x14ac:dyDescent="0.3">
      <c r="E3" s="367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9"/>
    </row>
    <row r="4" spans="2:19" ht="47.25" thickTop="1" thickBot="1" x14ac:dyDescent="0.3">
      <c r="B4" s="31" t="s">
        <v>9</v>
      </c>
      <c r="C4" s="32" t="s">
        <v>10</v>
      </c>
      <c r="D4" s="32" t="s">
        <v>0</v>
      </c>
      <c r="E4" s="39" t="s">
        <v>11</v>
      </c>
      <c r="F4" s="39" t="s">
        <v>150</v>
      </c>
      <c r="G4" s="40" t="s">
        <v>159</v>
      </c>
      <c r="H4" s="39" t="s">
        <v>12</v>
      </c>
      <c r="I4" s="39" t="s">
        <v>107</v>
      </c>
      <c r="J4" s="39" t="s">
        <v>143</v>
      </c>
      <c r="K4" s="39" t="s">
        <v>13</v>
      </c>
      <c r="L4" s="39" t="s">
        <v>15</v>
      </c>
      <c r="M4" s="39" t="s">
        <v>106</v>
      </c>
      <c r="N4" s="39" t="s">
        <v>16</v>
      </c>
      <c r="O4" s="39" t="s">
        <v>17</v>
      </c>
      <c r="P4" s="39" t="s">
        <v>72</v>
      </c>
      <c r="Q4" s="32" t="s">
        <v>8</v>
      </c>
      <c r="R4" s="32" t="s">
        <v>18</v>
      </c>
      <c r="S4" s="41" t="s">
        <v>73</v>
      </c>
    </row>
    <row r="5" spans="2:19" ht="15.75" thickTop="1" x14ac:dyDescent="0.25">
      <c r="B5" s="2" t="s">
        <v>19</v>
      </c>
      <c r="C5" s="2" t="s">
        <v>20</v>
      </c>
      <c r="D5" s="2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2:19" x14ac:dyDescent="0.25">
      <c r="B6" t="s">
        <v>21</v>
      </c>
      <c r="C6" s="11" t="s">
        <v>22</v>
      </c>
      <c r="D6" t="s">
        <v>25</v>
      </c>
      <c r="E6" s="15">
        <v>16954.95</v>
      </c>
      <c r="F6" s="29">
        <v>15</v>
      </c>
      <c r="G6" s="15"/>
      <c r="H6" s="15">
        <f>E6-G6</f>
        <v>16954.95</v>
      </c>
      <c r="I6" s="15">
        <v>0</v>
      </c>
      <c r="J6" s="15">
        <v>3246.93</v>
      </c>
      <c r="K6" s="15">
        <f>J6-I6</f>
        <v>3246.93</v>
      </c>
      <c r="L6" s="15">
        <v>0</v>
      </c>
      <c r="M6" s="15">
        <v>0</v>
      </c>
      <c r="N6" s="15">
        <f>E6*0.115+296.71</f>
        <v>2246.52925</v>
      </c>
      <c r="O6" s="15">
        <f>SUM(K6:N6)</f>
        <v>5493.4592499999999</v>
      </c>
      <c r="P6" s="18">
        <f>H6-O6</f>
        <v>11461.490750000001</v>
      </c>
      <c r="Q6" s="10">
        <v>328.67</v>
      </c>
      <c r="R6" s="10">
        <v>3390.99</v>
      </c>
      <c r="S6" s="35">
        <f>SUM(Q6:R6)</f>
        <v>3719.66</v>
      </c>
    </row>
    <row r="7" spans="2:19" x14ac:dyDescent="0.25">
      <c r="B7" t="s">
        <v>23</v>
      </c>
      <c r="C7" s="11" t="s">
        <v>24</v>
      </c>
      <c r="D7" t="s">
        <v>3</v>
      </c>
      <c r="E7" s="15">
        <v>4850</v>
      </c>
      <c r="F7" s="29">
        <v>15</v>
      </c>
      <c r="G7" s="15"/>
      <c r="H7" s="15">
        <f t="shared" ref="H7" si="0">E7-G7</f>
        <v>4850</v>
      </c>
      <c r="I7" s="15">
        <v>0</v>
      </c>
      <c r="J7" s="15">
        <v>491.69</v>
      </c>
      <c r="K7" s="15">
        <f t="shared" ref="K7" si="1">J7-I7</f>
        <v>491.69</v>
      </c>
      <c r="L7" s="15">
        <v>0</v>
      </c>
      <c r="M7" s="15">
        <v>0</v>
      </c>
      <c r="N7" s="15">
        <f>E7*0.115+84.88</f>
        <v>642.63</v>
      </c>
      <c r="O7" s="15">
        <f t="shared" ref="O7" si="2">SUM(K7:N7)</f>
        <v>1134.32</v>
      </c>
      <c r="P7" s="18">
        <f>H7-O7</f>
        <v>3715.6800000000003</v>
      </c>
      <c r="Q7" s="10">
        <v>253.58</v>
      </c>
      <c r="R7" s="10">
        <v>970</v>
      </c>
      <c r="S7" s="35">
        <f t="shared" ref="S7" si="3">SUM(Q7:R7)</f>
        <v>1223.58</v>
      </c>
    </row>
    <row r="8" spans="2:19" x14ac:dyDescent="0.25">
      <c r="B8" s="7" t="s">
        <v>26</v>
      </c>
      <c r="C8" s="30"/>
      <c r="D8" s="30"/>
      <c r="E8" s="34">
        <f>SUM(E6:E7)</f>
        <v>21804.95</v>
      </c>
      <c r="F8" s="34"/>
      <c r="G8" s="34">
        <f t="shared" ref="G8:S8" si="4">SUM(G6:G7)</f>
        <v>0</v>
      </c>
      <c r="H8" s="34">
        <f t="shared" si="4"/>
        <v>21804.95</v>
      </c>
      <c r="I8" s="34">
        <f t="shared" si="4"/>
        <v>0</v>
      </c>
      <c r="J8" s="34">
        <f t="shared" si="4"/>
        <v>3738.62</v>
      </c>
      <c r="K8" s="34">
        <f t="shared" si="4"/>
        <v>3738.62</v>
      </c>
      <c r="L8" s="34">
        <f t="shared" si="4"/>
        <v>0</v>
      </c>
      <c r="M8" s="34">
        <f t="shared" si="4"/>
        <v>0</v>
      </c>
      <c r="N8" s="34">
        <f t="shared" si="4"/>
        <v>2889.1592500000002</v>
      </c>
      <c r="O8" s="34">
        <f t="shared" si="4"/>
        <v>6627.7792499999996</v>
      </c>
      <c r="P8" s="34">
        <f t="shared" si="4"/>
        <v>15177.170750000001</v>
      </c>
      <c r="Q8" s="34">
        <f t="shared" si="4"/>
        <v>582.25</v>
      </c>
      <c r="R8" s="34">
        <f t="shared" si="4"/>
        <v>4360.99</v>
      </c>
      <c r="S8" s="34">
        <f t="shared" si="4"/>
        <v>4943.24</v>
      </c>
    </row>
    <row r="9" spans="2:19" x14ac:dyDescent="0.25"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2:19" x14ac:dyDescent="0.25">
      <c r="B10" s="2" t="s">
        <v>27</v>
      </c>
      <c r="C10" s="2" t="s">
        <v>28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2:19" x14ac:dyDescent="0.25">
      <c r="B11" t="s">
        <v>32</v>
      </c>
      <c r="C11" s="11" t="s">
        <v>37</v>
      </c>
      <c r="D11" t="s">
        <v>1</v>
      </c>
      <c r="E11" s="15">
        <v>10000</v>
      </c>
      <c r="F11" s="29">
        <v>15</v>
      </c>
      <c r="G11" s="15"/>
      <c r="H11" s="15">
        <f>E11-G11</f>
        <v>10000</v>
      </c>
      <c r="I11" s="15">
        <v>0</v>
      </c>
      <c r="J11" s="15">
        <v>1581.44</v>
      </c>
      <c r="K11" s="15">
        <f>J11-I11</f>
        <v>1581.44</v>
      </c>
      <c r="L11" s="15">
        <v>0</v>
      </c>
      <c r="M11" s="15">
        <v>0</v>
      </c>
      <c r="N11" s="15">
        <f>E11*0.115+175</f>
        <v>1325</v>
      </c>
      <c r="O11" s="15">
        <f t="shared" ref="O11:O16" si="5">SUM(K11:N11)</f>
        <v>2906.44</v>
      </c>
      <c r="P11" s="18">
        <f t="shared" ref="P11:P18" si="6">H11-O11</f>
        <v>7093.5599999999995</v>
      </c>
      <c r="Q11" s="10">
        <v>285.52999999999997</v>
      </c>
      <c r="R11" s="10">
        <v>2000</v>
      </c>
      <c r="S11" s="35">
        <f>Q11+R11</f>
        <v>2285.5299999999997</v>
      </c>
    </row>
    <row r="12" spans="2:19" x14ac:dyDescent="0.25">
      <c r="B12" t="s">
        <v>33</v>
      </c>
      <c r="C12" s="11" t="s">
        <v>38</v>
      </c>
      <c r="D12" t="s">
        <v>74</v>
      </c>
      <c r="E12" s="15">
        <v>5350</v>
      </c>
      <c r="F12" s="29">
        <v>15</v>
      </c>
      <c r="G12" s="19"/>
      <c r="H12" s="15">
        <f t="shared" ref="H12:H18" si="7">E12-G12</f>
        <v>5350</v>
      </c>
      <c r="I12" s="15">
        <v>0</v>
      </c>
      <c r="J12" s="15">
        <v>588.20000000000005</v>
      </c>
      <c r="K12" s="15">
        <f t="shared" ref="K12:K18" si="8">J12-I12</f>
        <v>588.20000000000005</v>
      </c>
      <c r="L12" s="15">
        <v>0</v>
      </c>
      <c r="M12" s="15">
        <v>0</v>
      </c>
      <c r="N12" s="15">
        <f>E12*0.115+93.74</f>
        <v>708.99</v>
      </c>
      <c r="O12" s="15">
        <f t="shared" si="5"/>
        <v>1297.19</v>
      </c>
      <c r="P12" s="18">
        <f t="shared" si="6"/>
        <v>4052.81</v>
      </c>
      <c r="Q12" s="10">
        <v>256.68</v>
      </c>
      <c r="R12" s="10">
        <v>1070</v>
      </c>
      <c r="S12" s="35">
        <f>Q12+R12</f>
        <v>1326.68</v>
      </c>
    </row>
    <row r="13" spans="2:19" x14ac:dyDescent="0.25">
      <c r="B13" t="s">
        <v>34</v>
      </c>
      <c r="C13" t="s">
        <v>141</v>
      </c>
      <c r="D13" t="s">
        <v>75</v>
      </c>
      <c r="E13" s="21">
        <v>5350</v>
      </c>
      <c r="F13" s="29">
        <v>15</v>
      </c>
      <c r="G13" s="3"/>
      <c r="H13" s="15">
        <f t="shared" si="7"/>
        <v>5350</v>
      </c>
      <c r="I13" s="3">
        <v>0</v>
      </c>
      <c r="J13" s="3">
        <v>588.20000000000005</v>
      </c>
      <c r="K13" s="15">
        <f t="shared" si="8"/>
        <v>588.20000000000005</v>
      </c>
      <c r="L13" s="3">
        <v>0</v>
      </c>
      <c r="M13" s="3">
        <v>0</v>
      </c>
      <c r="N13" s="15">
        <f>E13*0.115+19.42</f>
        <v>634.66999999999996</v>
      </c>
      <c r="O13" s="15">
        <f t="shared" si="5"/>
        <v>1222.8699999999999</v>
      </c>
      <c r="P13" s="18">
        <f t="shared" si="6"/>
        <v>4127.13</v>
      </c>
      <c r="Q13" s="27">
        <v>256.68</v>
      </c>
      <c r="R13" s="10">
        <v>1070</v>
      </c>
      <c r="S13" s="35">
        <f>Q13+R13</f>
        <v>1326.68</v>
      </c>
    </row>
    <row r="14" spans="2:19" x14ac:dyDescent="0.25">
      <c r="B14" t="s">
        <v>35</v>
      </c>
      <c r="C14" t="s">
        <v>111</v>
      </c>
      <c r="D14" t="s">
        <v>77</v>
      </c>
      <c r="E14" s="15">
        <v>6000</v>
      </c>
      <c r="F14" s="29">
        <v>15</v>
      </c>
      <c r="G14" s="15"/>
      <c r="H14" s="15">
        <f t="shared" si="7"/>
        <v>6000</v>
      </c>
      <c r="I14" s="15">
        <v>0</v>
      </c>
      <c r="J14" s="15">
        <v>727.04</v>
      </c>
      <c r="K14" s="15">
        <f t="shared" si="8"/>
        <v>727.04</v>
      </c>
      <c r="L14" s="15">
        <v>0</v>
      </c>
      <c r="M14" s="15">
        <v>0</v>
      </c>
      <c r="N14" s="15">
        <f t="shared" ref="N14" si="9">E14*0.115</f>
        <v>690</v>
      </c>
      <c r="O14" s="15">
        <f t="shared" si="5"/>
        <v>1417.04</v>
      </c>
      <c r="P14" s="18">
        <f t="shared" si="6"/>
        <v>4582.96</v>
      </c>
      <c r="Q14" s="10">
        <v>260.72000000000003</v>
      </c>
      <c r="R14" s="10">
        <v>1200</v>
      </c>
      <c r="S14" s="35">
        <f>Q14+R14</f>
        <v>1460.72</v>
      </c>
    </row>
    <row r="15" spans="2:19" x14ac:dyDescent="0.25">
      <c r="B15" t="s">
        <v>36</v>
      </c>
      <c r="C15" t="s">
        <v>86</v>
      </c>
      <c r="D15" t="s">
        <v>39</v>
      </c>
      <c r="E15" s="15">
        <v>4500</v>
      </c>
      <c r="F15" s="29">
        <v>15</v>
      </c>
      <c r="G15" s="15"/>
      <c r="H15" s="15">
        <f t="shared" si="7"/>
        <v>4500</v>
      </c>
      <c r="I15" s="15">
        <v>0</v>
      </c>
      <c r="J15" s="15">
        <v>428.97</v>
      </c>
      <c r="K15" s="15">
        <f t="shared" si="8"/>
        <v>428.97</v>
      </c>
      <c r="L15" s="15">
        <v>0</v>
      </c>
      <c r="M15" s="15">
        <v>0</v>
      </c>
      <c r="N15" s="15">
        <f>E15*0.115+87.5</f>
        <v>605</v>
      </c>
      <c r="O15" s="15">
        <f t="shared" si="5"/>
        <v>1033.97</v>
      </c>
      <c r="P15" s="18">
        <f t="shared" si="6"/>
        <v>3466.0299999999997</v>
      </c>
      <c r="Q15" s="10">
        <v>251.41</v>
      </c>
      <c r="R15" s="10">
        <v>900</v>
      </c>
      <c r="S15" s="35">
        <f>Q15+R15</f>
        <v>1151.4100000000001</v>
      </c>
    </row>
    <row r="16" spans="2:19" x14ac:dyDescent="0.25">
      <c r="B16" t="s">
        <v>115</v>
      </c>
      <c r="C16" t="s">
        <v>87</v>
      </c>
      <c r="D16" t="s">
        <v>39</v>
      </c>
      <c r="E16" s="15">
        <v>4500</v>
      </c>
      <c r="F16" s="29">
        <v>15</v>
      </c>
      <c r="G16" s="15"/>
      <c r="H16" s="15">
        <f t="shared" si="7"/>
        <v>4500</v>
      </c>
      <c r="I16" s="15">
        <v>0</v>
      </c>
      <c r="J16" s="15">
        <v>428.97</v>
      </c>
      <c r="K16" s="15">
        <f t="shared" si="8"/>
        <v>428.97</v>
      </c>
      <c r="L16" s="15">
        <v>0</v>
      </c>
      <c r="M16" s="15">
        <v>0</v>
      </c>
      <c r="N16" s="15">
        <f>E16*0.115+78.75</f>
        <v>596.25</v>
      </c>
      <c r="O16" s="15">
        <f t="shared" si="5"/>
        <v>1025.22</v>
      </c>
      <c r="P16" s="18">
        <f t="shared" si="6"/>
        <v>3474.7799999999997</v>
      </c>
      <c r="Q16" s="10">
        <v>251.41</v>
      </c>
      <c r="R16" s="10">
        <v>900</v>
      </c>
      <c r="S16" s="35">
        <f t="shared" ref="S16:S18" si="10">Q16+R16</f>
        <v>1151.4100000000001</v>
      </c>
    </row>
    <row r="17" spans="2:19" x14ac:dyDescent="0.25">
      <c r="B17" t="s">
        <v>116</v>
      </c>
      <c r="C17" t="s">
        <v>89</v>
      </c>
      <c r="D17" t="s">
        <v>4</v>
      </c>
      <c r="E17" s="15">
        <v>2700</v>
      </c>
      <c r="F17" s="29">
        <v>15</v>
      </c>
      <c r="G17" s="15"/>
      <c r="H17" s="15">
        <f t="shared" si="7"/>
        <v>2700</v>
      </c>
      <c r="I17" s="15">
        <v>147.32</v>
      </c>
      <c r="J17" s="15">
        <v>188.33</v>
      </c>
      <c r="K17" s="15">
        <f t="shared" si="8"/>
        <v>41.010000000000019</v>
      </c>
      <c r="L17" s="15">
        <v>0</v>
      </c>
      <c r="M17" s="15">
        <v>0</v>
      </c>
      <c r="N17" s="15">
        <f>E17*0.115+47.25</f>
        <v>357.75</v>
      </c>
      <c r="O17" s="15">
        <f>SUM(K17:N17)</f>
        <v>398.76</v>
      </c>
      <c r="P17" s="18">
        <f t="shared" si="6"/>
        <v>2301.2399999999998</v>
      </c>
      <c r="Q17" s="10">
        <v>240.25</v>
      </c>
      <c r="R17" s="10">
        <v>540</v>
      </c>
      <c r="S17" s="35">
        <f t="shared" si="10"/>
        <v>780.25</v>
      </c>
    </row>
    <row r="18" spans="2:19" x14ac:dyDescent="0.25">
      <c r="B18" t="s">
        <v>117</v>
      </c>
      <c r="C18" t="s">
        <v>88</v>
      </c>
      <c r="D18" t="s">
        <v>40</v>
      </c>
      <c r="E18" s="15">
        <v>3150</v>
      </c>
      <c r="F18" s="29">
        <v>15</v>
      </c>
      <c r="G18" s="15"/>
      <c r="H18" s="15">
        <f t="shared" si="7"/>
        <v>3150</v>
      </c>
      <c r="I18" s="15">
        <v>126.77</v>
      </c>
      <c r="J18" s="15">
        <v>237.29</v>
      </c>
      <c r="K18" s="15">
        <f t="shared" si="8"/>
        <v>110.52</v>
      </c>
      <c r="L18" s="15">
        <v>0</v>
      </c>
      <c r="M18" s="15">
        <v>0</v>
      </c>
      <c r="N18" s="15">
        <f>E18*0.115+55.13</f>
        <v>417.38</v>
      </c>
      <c r="O18" s="15">
        <f>SUM(K18:N18)</f>
        <v>527.9</v>
      </c>
      <c r="P18" s="18">
        <f t="shared" si="6"/>
        <v>2622.1</v>
      </c>
      <c r="Q18" s="10">
        <v>243.04</v>
      </c>
      <c r="R18" s="10">
        <v>630</v>
      </c>
      <c r="S18" s="35">
        <f t="shared" si="10"/>
        <v>873.04</v>
      </c>
    </row>
    <row r="19" spans="2:19" x14ac:dyDescent="0.25">
      <c r="B19" s="2" t="s">
        <v>26</v>
      </c>
      <c r="C19" s="30"/>
      <c r="D19" s="30"/>
      <c r="E19" s="34">
        <f t="shared" ref="E19:S19" si="11">SUM(E11:E18)</f>
        <v>41550</v>
      </c>
      <c r="F19" s="34"/>
      <c r="G19" s="34">
        <f t="shared" si="11"/>
        <v>0</v>
      </c>
      <c r="H19" s="34">
        <f t="shared" si="11"/>
        <v>41550</v>
      </c>
      <c r="I19" s="34">
        <f t="shared" si="11"/>
        <v>274.08999999999997</v>
      </c>
      <c r="J19" s="34">
        <f t="shared" si="11"/>
        <v>4768.4400000000005</v>
      </c>
      <c r="K19" s="34">
        <f t="shared" si="11"/>
        <v>4494.3500000000013</v>
      </c>
      <c r="L19" s="34">
        <f t="shared" si="11"/>
        <v>0</v>
      </c>
      <c r="M19" s="34">
        <f t="shared" si="11"/>
        <v>0</v>
      </c>
      <c r="N19" s="34">
        <f t="shared" si="11"/>
        <v>5335.04</v>
      </c>
      <c r="O19" s="34">
        <f t="shared" si="11"/>
        <v>9829.39</v>
      </c>
      <c r="P19" s="34">
        <f t="shared" si="11"/>
        <v>31720.609999999993</v>
      </c>
      <c r="Q19" s="34">
        <f t="shared" si="11"/>
        <v>2045.7200000000003</v>
      </c>
      <c r="R19" s="34">
        <f t="shared" si="11"/>
        <v>8310</v>
      </c>
      <c r="S19" s="34">
        <f t="shared" si="11"/>
        <v>10355.720000000001</v>
      </c>
    </row>
    <row r="20" spans="2:19" x14ac:dyDescent="0.25">
      <c r="B20" s="2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2:19" x14ac:dyDescent="0.25">
      <c r="B21" s="2" t="s">
        <v>50</v>
      </c>
      <c r="C21" s="2" t="s">
        <v>160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2:19" x14ac:dyDescent="0.25">
      <c r="B22" t="s">
        <v>119</v>
      </c>
      <c r="C22" t="s">
        <v>91</v>
      </c>
      <c r="D22" t="s">
        <v>76</v>
      </c>
      <c r="E22" s="15">
        <v>5350</v>
      </c>
      <c r="F22" s="29">
        <v>15</v>
      </c>
      <c r="G22" s="15"/>
      <c r="H22" s="15">
        <f>E22-G22</f>
        <v>5350</v>
      </c>
      <c r="I22" s="15">
        <v>0</v>
      </c>
      <c r="J22" s="15">
        <v>588.20000000000005</v>
      </c>
      <c r="K22" s="15">
        <f>J22-I22</f>
        <v>588.20000000000005</v>
      </c>
      <c r="L22" s="15">
        <v>0</v>
      </c>
      <c r="M22" s="15">
        <v>0</v>
      </c>
      <c r="N22" s="15">
        <f>E22*0.115+93.66</f>
        <v>708.91</v>
      </c>
      <c r="O22" s="15">
        <f>SUM(K22:N22)</f>
        <v>1297.1100000000001</v>
      </c>
      <c r="P22" s="18">
        <f>H22-O22</f>
        <v>4052.89</v>
      </c>
      <c r="Q22" s="10">
        <v>256.68</v>
      </c>
      <c r="R22" s="10">
        <v>1070</v>
      </c>
      <c r="S22" s="35">
        <f>Q22+R22</f>
        <v>1326.68</v>
      </c>
    </row>
    <row r="23" spans="2:19" x14ac:dyDescent="0.25">
      <c r="B23" t="s">
        <v>120</v>
      </c>
      <c r="C23" t="s">
        <v>93</v>
      </c>
      <c r="D23" t="s">
        <v>78</v>
      </c>
      <c r="E23" s="15">
        <v>5350</v>
      </c>
      <c r="F23" s="29">
        <v>14</v>
      </c>
      <c r="G23" s="15">
        <v>356.66</v>
      </c>
      <c r="H23" s="15">
        <f>E23-G23</f>
        <v>4993.34</v>
      </c>
      <c r="I23" s="15">
        <v>0</v>
      </c>
      <c r="J23" s="15">
        <v>588.20000000000005</v>
      </c>
      <c r="K23" s="15">
        <f>J23-I23</f>
        <v>588.20000000000005</v>
      </c>
      <c r="L23" s="15">
        <v>0</v>
      </c>
      <c r="M23" s="15">
        <v>0</v>
      </c>
      <c r="N23" s="15">
        <f>E23*0.115+93.81</f>
        <v>709.06</v>
      </c>
      <c r="O23" s="15">
        <f>SUM(K23:N23)</f>
        <v>1297.26</v>
      </c>
      <c r="P23" s="18">
        <f>H23-O23</f>
        <v>3696.08</v>
      </c>
      <c r="Q23" s="10">
        <v>256.68</v>
      </c>
      <c r="R23" s="10">
        <v>1070</v>
      </c>
      <c r="S23" s="35">
        <f>Q23+R23</f>
        <v>1326.68</v>
      </c>
    </row>
    <row r="24" spans="2:19" x14ac:dyDescent="0.25">
      <c r="B24" t="s">
        <v>121</v>
      </c>
      <c r="C24" t="s">
        <v>114</v>
      </c>
      <c r="D24" t="s">
        <v>79</v>
      </c>
      <c r="E24" s="15">
        <v>5350</v>
      </c>
      <c r="F24" s="29">
        <v>15</v>
      </c>
      <c r="G24" s="15"/>
      <c r="H24" s="15">
        <f>E24-G24</f>
        <v>5350</v>
      </c>
      <c r="I24" s="15">
        <v>0</v>
      </c>
      <c r="J24" s="15">
        <v>588.20000000000005</v>
      </c>
      <c r="K24" s="15">
        <f>J24-I24</f>
        <v>588.20000000000005</v>
      </c>
      <c r="L24" s="15">
        <v>0</v>
      </c>
      <c r="M24" s="15">
        <v>0</v>
      </c>
      <c r="N24" s="15">
        <f t="shared" ref="N24" si="12">E24*0.115</f>
        <v>615.25</v>
      </c>
      <c r="O24" s="15">
        <f>SUM(K24:N24)</f>
        <v>1203.45</v>
      </c>
      <c r="P24" s="18">
        <f>H24-O24</f>
        <v>4146.55</v>
      </c>
      <c r="Q24" s="10">
        <v>256.68</v>
      </c>
      <c r="R24" s="10">
        <v>1070</v>
      </c>
      <c r="S24" s="35">
        <f>Q24+R24</f>
        <v>1326.68</v>
      </c>
    </row>
    <row r="25" spans="2:19" x14ac:dyDescent="0.25">
      <c r="B25" s="2" t="s">
        <v>26</v>
      </c>
      <c r="C25" s="30"/>
      <c r="D25" s="30"/>
      <c r="E25" s="34">
        <f>SUM(E22:E24)</f>
        <v>16050</v>
      </c>
      <c r="F25" s="34"/>
      <c r="G25" s="34">
        <f>SUM(G22:G24)</f>
        <v>356.66</v>
      </c>
      <c r="H25" s="34">
        <f t="shared" ref="H25:S25" si="13">SUM(H22:H24)</f>
        <v>15693.34</v>
      </c>
      <c r="I25" s="34">
        <f t="shared" si="13"/>
        <v>0</v>
      </c>
      <c r="J25" s="34">
        <f t="shared" si="13"/>
        <v>1764.6000000000001</v>
      </c>
      <c r="K25" s="34">
        <f t="shared" si="13"/>
        <v>1764.6000000000001</v>
      </c>
      <c r="L25" s="34">
        <f t="shared" si="13"/>
        <v>0</v>
      </c>
      <c r="M25" s="34">
        <f t="shared" si="13"/>
        <v>0</v>
      </c>
      <c r="N25" s="34">
        <f t="shared" si="13"/>
        <v>2033.2199999999998</v>
      </c>
      <c r="O25" s="34">
        <f t="shared" si="13"/>
        <v>3797.8199999999997</v>
      </c>
      <c r="P25" s="34">
        <f t="shared" si="13"/>
        <v>11895.52</v>
      </c>
      <c r="Q25" s="34">
        <f t="shared" si="13"/>
        <v>770.04</v>
      </c>
      <c r="R25" s="34">
        <f t="shared" si="13"/>
        <v>3210</v>
      </c>
      <c r="S25" s="34">
        <f t="shared" si="13"/>
        <v>3980.04</v>
      </c>
    </row>
    <row r="26" spans="2:19" x14ac:dyDescent="0.25"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2:19" x14ac:dyDescent="0.25">
      <c r="B27" s="2" t="s">
        <v>63</v>
      </c>
      <c r="C27" s="2" t="s">
        <v>51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2:19" x14ac:dyDescent="0.25">
      <c r="B28" t="s">
        <v>122</v>
      </c>
      <c r="C28" t="s">
        <v>97</v>
      </c>
      <c r="D28" t="s">
        <v>80</v>
      </c>
      <c r="E28" s="15">
        <v>5350</v>
      </c>
      <c r="F28" s="29">
        <v>15</v>
      </c>
      <c r="G28" s="15"/>
      <c r="H28" s="15">
        <f>E28-G28</f>
        <v>5350</v>
      </c>
      <c r="I28" s="15">
        <v>0</v>
      </c>
      <c r="J28" s="15">
        <v>588.20000000000005</v>
      </c>
      <c r="K28" s="15">
        <f>J28-I28</f>
        <v>588.20000000000005</v>
      </c>
      <c r="L28" s="15">
        <v>0</v>
      </c>
      <c r="M28" s="15">
        <v>0</v>
      </c>
      <c r="N28" s="15">
        <f>E28*0.115+93.65</f>
        <v>708.9</v>
      </c>
      <c r="O28" s="15">
        <f>SUM(K28:N28)</f>
        <v>1297.0999999999999</v>
      </c>
      <c r="P28" s="18">
        <f t="shared" ref="P28:P38" si="14">H28-O28</f>
        <v>4052.9</v>
      </c>
      <c r="Q28" s="10">
        <v>256.68</v>
      </c>
      <c r="R28" s="10">
        <v>1070</v>
      </c>
      <c r="S28" s="35">
        <f t="shared" ref="S28:S38" si="15">Q28+R28</f>
        <v>1326.68</v>
      </c>
    </row>
    <row r="29" spans="2:19" x14ac:dyDescent="0.25">
      <c r="B29" t="s">
        <v>123</v>
      </c>
      <c r="C29" t="s">
        <v>100</v>
      </c>
      <c r="D29" t="s">
        <v>80</v>
      </c>
      <c r="E29" s="15">
        <v>5350</v>
      </c>
      <c r="F29" s="29">
        <v>15</v>
      </c>
      <c r="G29" s="15"/>
      <c r="H29" s="15">
        <f t="shared" ref="H29:H38" si="16">E29-G29</f>
        <v>5350</v>
      </c>
      <c r="I29" s="15">
        <v>0</v>
      </c>
      <c r="J29" s="15">
        <v>588.20000000000005</v>
      </c>
      <c r="K29" s="15">
        <f t="shared" ref="K29:K38" si="17">J29-I29</f>
        <v>588.20000000000005</v>
      </c>
      <c r="L29" s="15">
        <v>0</v>
      </c>
      <c r="M29" s="15">
        <v>0</v>
      </c>
      <c r="N29" s="15">
        <f>E29*0.115+93.71</f>
        <v>708.96</v>
      </c>
      <c r="O29" s="15">
        <f t="shared" ref="O29:O38" si="18">SUM(K29:N29)</f>
        <v>1297.1600000000001</v>
      </c>
      <c r="P29" s="18">
        <f t="shared" si="14"/>
        <v>4052.84</v>
      </c>
      <c r="Q29" s="10">
        <v>256.68</v>
      </c>
      <c r="R29" s="10">
        <v>1070</v>
      </c>
      <c r="S29" s="35">
        <f t="shared" si="15"/>
        <v>1326.68</v>
      </c>
    </row>
    <row r="30" spans="2:19" x14ac:dyDescent="0.25">
      <c r="B30" t="s">
        <v>124</v>
      </c>
      <c r="C30" t="s">
        <v>96</v>
      </c>
      <c r="D30" t="s">
        <v>78</v>
      </c>
      <c r="E30" s="15">
        <v>5350</v>
      </c>
      <c r="F30" s="29">
        <v>15</v>
      </c>
      <c r="G30" s="15"/>
      <c r="H30" s="15">
        <f t="shared" si="16"/>
        <v>5350</v>
      </c>
      <c r="I30" s="15">
        <v>0</v>
      </c>
      <c r="J30" s="15">
        <v>588.20000000000005</v>
      </c>
      <c r="K30" s="15">
        <f t="shared" si="17"/>
        <v>588.20000000000005</v>
      </c>
      <c r="L30" s="15">
        <v>0</v>
      </c>
      <c r="M30" s="15">
        <v>0</v>
      </c>
      <c r="N30" s="15">
        <f>E30*0.115+99.88</f>
        <v>715.13</v>
      </c>
      <c r="O30" s="15">
        <f t="shared" si="18"/>
        <v>1303.33</v>
      </c>
      <c r="P30" s="18">
        <f t="shared" si="14"/>
        <v>4046.67</v>
      </c>
      <c r="Q30" s="10">
        <v>256.68</v>
      </c>
      <c r="R30" s="10">
        <v>1070</v>
      </c>
      <c r="S30" s="35">
        <f t="shared" si="15"/>
        <v>1326.68</v>
      </c>
    </row>
    <row r="31" spans="2:19" x14ac:dyDescent="0.25">
      <c r="B31" t="s">
        <v>125</v>
      </c>
      <c r="C31" t="s">
        <v>104</v>
      </c>
      <c r="D31" t="s">
        <v>78</v>
      </c>
      <c r="E31" s="15">
        <v>5350</v>
      </c>
      <c r="F31" s="29">
        <v>15</v>
      </c>
      <c r="G31" s="15"/>
      <c r="H31" s="15">
        <f t="shared" si="16"/>
        <v>5350</v>
      </c>
      <c r="I31" s="15">
        <v>0</v>
      </c>
      <c r="J31" s="15">
        <v>588.20000000000005</v>
      </c>
      <c r="K31" s="15">
        <f t="shared" si="17"/>
        <v>588.20000000000005</v>
      </c>
      <c r="L31" s="15">
        <v>0</v>
      </c>
      <c r="M31" s="15">
        <v>0</v>
      </c>
      <c r="N31" s="15">
        <f t="shared" ref="N31:N38" si="19">E31*0.115+93.63</f>
        <v>708.88</v>
      </c>
      <c r="O31" s="15">
        <f t="shared" si="18"/>
        <v>1297.08</v>
      </c>
      <c r="P31" s="18">
        <f t="shared" si="14"/>
        <v>4052.92</v>
      </c>
      <c r="Q31" s="10">
        <v>256.68</v>
      </c>
      <c r="R31" s="10">
        <v>1070</v>
      </c>
      <c r="S31" s="35">
        <f t="shared" si="15"/>
        <v>1326.68</v>
      </c>
    </row>
    <row r="32" spans="2:19" x14ac:dyDescent="0.25">
      <c r="B32" t="s">
        <v>126</v>
      </c>
      <c r="C32" t="s">
        <v>94</v>
      </c>
      <c r="D32" t="s">
        <v>81</v>
      </c>
      <c r="E32" s="15">
        <v>5350</v>
      </c>
      <c r="F32" s="29">
        <v>15</v>
      </c>
      <c r="G32" s="15">
        <v>22.07</v>
      </c>
      <c r="H32" s="15">
        <f t="shared" si="16"/>
        <v>5327.93</v>
      </c>
      <c r="I32" s="15">
        <v>0</v>
      </c>
      <c r="J32" s="15">
        <v>588.20000000000005</v>
      </c>
      <c r="K32" s="15">
        <f t="shared" si="17"/>
        <v>588.20000000000005</v>
      </c>
      <c r="L32" s="15">
        <v>0</v>
      </c>
      <c r="M32" s="15">
        <v>0</v>
      </c>
      <c r="N32" s="15">
        <f t="shared" si="19"/>
        <v>708.88</v>
      </c>
      <c r="O32" s="15">
        <f t="shared" si="18"/>
        <v>1297.08</v>
      </c>
      <c r="P32" s="18">
        <f t="shared" si="14"/>
        <v>4030.8500000000004</v>
      </c>
      <c r="Q32" s="10">
        <v>256.68</v>
      </c>
      <c r="R32" s="10">
        <v>1070</v>
      </c>
      <c r="S32" s="35">
        <f t="shared" si="15"/>
        <v>1326.68</v>
      </c>
    </row>
    <row r="33" spans="2:19" x14ac:dyDescent="0.25">
      <c r="B33" t="s">
        <v>127</v>
      </c>
      <c r="C33" t="s">
        <v>98</v>
      </c>
      <c r="D33" t="s">
        <v>81</v>
      </c>
      <c r="E33" s="15">
        <v>5350</v>
      </c>
      <c r="F33" s="29">
        <v>15</v>
      </c>
      <c r="G33" s="15"/>
      <c r="H33" s="15">
        <f t="shared" si="16"/>
        <v>5350</v>
      </c>
      <c r="I33" s="15">
        <v>0</v>
      </c>
      <c r="J33" s="15">
        <v>588.20000000000005</v>
      </c>
      <c r="K33" s="15">
        <f t="shared" si="17"/>
        <v>588.20000000000005</v>
      </c>
      <c r="L33" s="15">
        <v>0</v>
      </c>
      <c r="M33" s="15">
        <v>0</v>
      </c>
      <c r="N33" s="15">
        <f t="shared" si="19"/>
        <v>708.88</v>
      </c>
      <c r="O33" s="15">
        <f t="shared" si="18"/>
        <v>1297.08</v>
      </c>
      <c r="P33" s="18">
        <f t="shared" si="14"/>
        <v>4052.92</v>
      </c>
      <c r="Q33" s="10">
        <v>256.68</v>
      </c>
      <c r="R33" s="10">
        <v>1070</v>
      </c>
      <c r="S33" s="35">
        <f t="shared" si="15"/>
        <v>1326.68</v>
      </c>
    </row>
    <row r="34" spans="2:19" x14ac:dyDescent="0.25">
      <c r="B34" t="s">
        <v>128</v>
      </c>
      <c r="C34" t="s">
        <v>101</v>
      </c>
      <c r="D34" t="s">
        <v>81</v>
      </c>
      <c r="E34" s="15">
        <v>5350</v>
      </c>
      <c r="F34" s="29">
        <v>15</v>
      </c>
      <c r="G34" s="15"/>
      <c r="H34" s="15">
        <f t="shared" si="16"/>
        <v>5350</v>
      </c>
      <c r="I34" s="15">
        <v>0</v>
      </c>
      <c r="J34" s="15">
        <v>588.20000000000005</v>
      </c>
      <c r="K34" s="15">
        <f t="shared" si="17"/>
        <v>588.20000000000005</v>
      </c>
      <c r="L34" s="15">
        <v>0</v>
      </c>
      <c r="M34" s="15">
        <v>0</v>
      </c>
      <c r="N34" s="15">
        <f t="shared" si="19"/>
        <v>708.88</v>
      </c>
      <c r="O34" s="15">
        <f t="shared" si="18"/>
        <v>1297.08</v>
      </c>
      <c r="P34" s="18">
        <f t="shared" si="14"/>
        <v>4052.92</v>
      </c>
      <c r="Q34" s="10">
        <v>256.68</v>
      </c>
      <c r="R34" s="10">
        <v>1070</v>
      </c>
      <c r="S34" s="35">
        <f t="shared" si="15"/>
        <v>1326.68</v>
      </c>
    </row>
    <row r="35" spans="2:19" x14ac:dyDescent="0.25">
      <c r="B35" t="s">
        <v>129</v>
      </c>
      <c r="C35" t="s">
        <v>95</v>
      </c>
      <c r="D35" t="s">
        <v>82</v>
      </c>
      <c r="E35" s="15">
        <v>5350</v>
      </c>
      <c r="F35" s="29">
        <v>15</v>
      </c>
      <c r="G35" s="15"/>
      <c r="H35" s="15">
        <f t="shared" si="16"/>
        <v>5350</v>
      </c>
      <c r="I35" s="15">
        <v>0</v>
      </c>
      <c r="J35" s="15">
        <v>588.20000000000005</v>
      </c>
      <c r="K35" s="15">
        <f t="shared" si="17"/>
        <v>588.20000000000005</v>
      </c>
      <c r="L35" s="15">
        <v>0</v>
      </c>
      <c r="M35" s="15">
        <v>0</v>
      </c>
      <c r="N35" s="15">
        <f t="shared" si="19"/>
        <v>708.88</v>
      </c>
      <c r="O35" s="15">
        <f t="shared" si="18"/>
        <v>1297.08</v>
      </c>
      <c r="P35" s="18">
        <f t="shared" si="14"/>
        <v>4052.92</v>
      </c>
      <c r="Q35" s="10">
        <v>256.68</v>
      </c>
      <c r="R35" s="10">
        <v>1070</v>
      </c>
      <c r="S35" s="35">
        <f t="shared" si="15"/>
        <v>1326.68</v>
      </c>
    </row>
    <row r="36" spans="2:19" x14ac:dyDescent="0.25">
      <c r="B36" t="s">
        <v>130</v>
      </c>
      <c r="C36" t="s">
        <v>102</v>
      </c>
      <c r="D36" t="s">
        <v>82</v>
      </c>
      <c r="E36" s="15">
        <v>5350</v>
      </c>
      <c r="F36" s="29">
        <v>15</v>
      </c>
      <c r="G36" s="15"/>
      <c r="H36" s="15">
        <f t="shared" si="16"/>
        <v>5350</v>
      </c>
      <c r="I36" s="15">
        <v>0</v>
      </c>
      <c r="J36" s="15">
        <v>588.20000000000005</v>
      </c>
      <c r="K36" s="15">
        <f t="shared" si="17"/>
        <v>588.20000000000005</v>
      </c>
      <c r="L36" s="15">
        <v>0</v>
      </c>
      <c r="M36" s="15">
        <v>0</v>
      </c>
      <c r="N36" s="15">
        <f>E36*0.115+93.63</f>
        <v>708.88</v>
      </c>
      <c r="O36" s="15">
        <f t="shared" si="18"/>
        <v>1297.08</v>
      </c>
      <c r="P36" s="18">
        <f t="shared" si="14"/>
        <v>4052.92</v>
      </c>
      <c r="Q36" s="10">
        <v>256.68</v>
      </c>
      <c r="R36" s="10">
        <v>1070</v>
      </c>
      <c r="S36" s="35">
        <f t="shared" si="15"/>
        <v>1326.68</v>
      </c>
    </row>
    <row r="37" spans="2:19" x14ac:dyDescent="0.25">
      <c r="B37" t="s">
        <v>131</v>
      </c>
      <c r="C37" t="s">
        <v>85</v>
      </c>
      <c r="D37" t="s">
        <v>83</v>
      </c>
      <c r="E37" s="15">
        <v>5350</v>
      </c>
      <c r="F37" s="29">
        <v>15</v>
      </c>
      <c r="G37" s="15"/>
      <c r="H37" s="15">
        <f t="shared" si="16"/>
        <v>5350</v>
      </c>
      <c r="I37" s="15">
        <v>0</v>
      </c>
      <c r="J37" s="15">
        <v>588.20000000000005</v>
      </c>
      <c r="K37" s="15">
        <f t="shared" si="17"/>
        <v>588.20000000000005</v>
      </c>
      <c r="L37" s="15">
        <v>0</v>
      </c>
      <c r="M37" s="15">
        <v>0</v>
      </c>
      <c r="N37" s="15">
        <f t="shared" si="19"/>
        <v>708.88</v>
      </c>
      <c r="O37" s="15">
        <f t="shared" si="18"/>
        <v>1297.08</v>
      </c>
      <c r="P37" s="18">
        <f t="shared" si="14"/>
        <v>4052.92</v>
      </c>
      <c r="Q37" s="10">
        <v>256.68</v>
      </c>
      <c r="R37" s="10">
        <v>1070</v>
      </c>
      <c r="S37" s="35">
        <f t="shared" si="15"/>
        <v>1326.68</v>
      </c>
    </row>
    <row r="38" spans="2:19" x14ac:dyDescent="0.25">
      <c r="B38" t="s">
        <v>132</v>
      </c>
      <c r="C38" t="s">
        <v>103</v>
      </c>
      <c r="D38" t="s">
        <v>83</v>
      </c>
      <c r="E38" s="15">
        <v>5350</v>
      </c>
      <c r="F38" s="29">
        <v>15</v>
      </c>
      <c r="G38" s="15"/>
      <c r="H38" s="15">
        <f t="shared" si="16"/>
        <v>5350</v>
      </c>
      <c r="I38" s="15">
        <v>0</v>
      </c>
      <c r="J38" s="15">
        <v>588.20000000000005</v>
      </c>
      <c r="K38" s="15">
        <f t="shared" si="17"/>
        <v>588.20000000000005</v>
      </c>
      <c r="L38" s="15">
        <v>0</v>
      </c>
      <c r="M38" s="15">
        <v>0</v>
      </c>
      <c r="N38" s="15">
        <f t="shared" si="19"/>
        <v>708.88</v>
      </c>
      <c r="O38" s="15">
        <f t="shared" si="18"/>
        <v>1297.08</v>
      </c>
      <c r="P38" s="18">
        <f t="shared" si="14"/>
        <v>4052.92</v>
      </c>
      <c r="Q38" s="10">
        <v>256.68</v>
      </c>
      <c r="R38" s="10">
        <v>1070</v>
      </c>
      <c r="S38" s="35">
        <f t="shared" si="15"/>
        <v>1326.68</v>
      </c>
    </row>
    <row r="39" spans="2:19" x14ac:dyDescent="0.25">
      <c r="B39" s="2" t="s">
        <v>26</v>
      </c>
      <c r="C39" s="30"/>
      <c r="D39" s="30"/>
      <c r="E39" s="34">
        <f>SUM(E28:E38)</f>
        <v>58850</v>
      </c>
      <c r="F39" s="34"/>
      <c r="G39" s="34">
        <f>SUM(G28:G38)</f>
        <v>22.07</v>
      </c>
      <c r="H39" s="34">
        <f>SUM(H28:H38)</f>
        <v>58827.93</v>
      </c>
      <c r="I39" s="34">
        <f t="shared" ref="I39:S39" si="20">SUM(I28:I38)</f>
        <v>0</v>
      </c>
      <c r="J39" s="34">
        <f t="shared" si="20"/>
        <v>6470.1999999999989</v>
      </c>
      <c r="K39" s="34">
        <f t="shared" si="20"/>
        <v>6470.1999999999989</v>
      </c>
      <c r="L39" s="34">
        <f t="shared" si="20"/>
        <v>0</v>
      </c>
      <c r="M39" s="34">
        <f t="shared" si="20"/>
        <v>0</v>
      </c>
      <c r="N39" s="34">
        <f t="shared" si="20"/>
        <v>7804.0300000000007</v>
      </c>
      <c r="O39" s="34">
        <f t="shared" si="20"/>
        <v>14274.23</v>
      </c>
      <c r="P39" s="34">
        <f t="shared" si="20"/>
        <v>44553.69999999999</v>
      </c>
      <c r="Q39" s="34">
        <f t="shared" si="20"/>
        <v>2823.4799999999996</v>
      </c>
      <c r="R39" s="34">
        <f t="shared" si="20"/>
        <v>11770</v>
      </c>
      <c r="S39" s="34">
        <f t="shared" si="20"/>
        <v>14593.480000000001</v>
      </c>
    </row>
    <row r="40" spans="2:19" x14ac:dyDescent="0.25"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2:19" x14ac:dyDescent="0.25">
      <c r="B41" s="2" t="s">
        <v>140</v>
      </c>
      <c r="C41" s="2" t="s">
        <v>64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2:19" x14ac:dyDescent="0.25">
      <c r="B42" t="s">
        <v>133</v>
      </c>
      <c r="C42" t="s">
        <v>99</v>
      </c>
      <c r="D42" t="s">
        <v>80</v>
      </c>
      <c r="E42" s="15">
        <v>5350</v>
      </c>
      <c r="F42" s="29">
        <v>15</v>
      </c>
      <c r="G42" s="15">
        <v>7.64</v>
      </c>
      <c r="H42" s="15">
        <f>E42-G42</f>
        <v>5342.36</v>
      </c>
      <c r="I42" s="15">
        <v>0</v>
      </c>
      <c r="J42" s="15">
        <v>588.20000000000005</v>
      </c>
      <c r="K42" s="15">
        <f>J42-I42</f>
        <v>588.20000000000005</v>
      </c>
      <c r="L42" s="15">
        <v>0</v>
      </c>
      <c r="M42" s="15">
        <v>0</v>
      </c>
      <c r="N42" s="15">
        <f>E42*0.115+101.23</f>
        <v>716.48</v>
      </c>
      <c r="O42" s="15">
        <f>SUM(K42:N42)</f>
        <v>1304.68</v>
      </c>
      <c r="P42" s="18">
        <f>H42-O42</f>
        <v>4037.6799999999994</v>
      </c>
      <c r="Q42" s="10">
        <v>256.68</v>
      </c>
      <c r="R42" s="10">
        <v>1070</v>
      </c>
      <c r="S42" s="35">
        <f t="shared" ref="S42:S43" si="21">Q42+R42</f>
        <v>1326.68</v>
      </c>
    </row>
    <row r="43" spans="2:19" x14ac:dyDescent="0.25">
      <c r="B43" t="s">
        <v>152</v>
      </c>
      <c r="C43" t="s">
        <v>92</v>
      </c>
      <c r="D43" t="s">
        <v>80</v>
      </c>
      <c r="E43" s="15">
        <v>5350</v>
      </c>
      <c r="F43" s="29">
        <v>15</v>
      </c>
      <c r="G43" s="15"/>
      <c r="H43" s="15">
        <f>E43-G43</f>
        <v>5350</v>
      </c>
      <c r="I43" s="15">
        <v>0</v>
      </c>
      <c r="J43" s="15">
        <v>588.20000000000005</v>
      </c>
      <c r="K43" s="15">
        <v>588.20000000000005</v>
      </c>
      <c r="L43" s="15">
        <v>0</v>
      </c>
      <c r="M43" s="15">
        <v>0</v>
      </c>
      <c r="N43" s="15">
        <f>H43*0.115</f>
        <v>615.25</v>
      </c>
      <c r="O43" s="15">
        <f>SUM(K43:N43)</f>
        <v>1203.45</v>
      </c>
      <c r="P43" s="18">
        <f>H43-O43</f>
        <v>4146.55</v>
      </c>
      <c r="Q43" s="10">
        <v>256.68</v>
      </c>
      <c r="R43" s="10">
        <v>1070</v>
      </c>
      <c r="S43" s="35">
        <f t="shared" si="21"/>
        <v>1326.68</v>
      </c>
    </row>
    <row r="44" spans="2:19" x14ac:dyDescent="0.25">
      <c r="B44" s="2" t="s">
        <v>26</v>
      </c>
      <c r="C44" s="30"/>
      <c r="D44" s="30"/>
      <c r="E44" s="34">
        <f>E42+E43</f>
        <v>10700</v>
      </c>
      <c r="F44" s="34"/>
      <c r="G44" s="34">
        <f>G42+G43</f>
        <v>7.64</v>
      </c>
      <c r="H44" s="34">
        <f t="shared" ref="H44:S44" si="22">H42+H43</f>
        <v>10692.36</v>
      </c>
      <c r="I44" s="34">
        <f t="shared" si="22"/>
        <v>0</v>
      </c>
      <c r="J44" s="34">
        <f t="shared" si="22"/>
        <v>1176.4000000000001</v>
      </c>
      <c r="K44" s="34">
        <f t="shared" si="22"/>
        <v>1176.4000000000001</v>
      </c>
      <c r="L44" s="34">
        <f t="shared" si="22"/>
        <v>0</v>
      </c>
      <c r="M44" s="34">
        <f t="shared" si="22"/>
        <v>0</v>
      </c>
      <c r="N44" s="34">
        <f t="shared" si="22"/>
        <v>1331.73</v>
      </c>
      <c r="O44" s="34">
        <f t="shared" si="22"/>
        <v>2508.13</v>
      </c>
      <c r="P44" s="34">
        <f t="shared" si="22"/>
        <v>8184.23</v>
      </c>
      <c r="Q44" s="34">
        <f t="shared" si="22"/>
        <v>513.36</v>
      </c>
      <c r="R44" s="34">
        <f t="shared" si="22"/>
        <v>2140</v>
      </c>
      <c r="S44" s="34">
        <f t="shared" si="22"/>
        <v>2653.36</v>
      </c>
    </row>
    <row r="45" spans="2:19" x14ac:dyDescent="0.25">
      <c r="B45" s="2"/>
      <c r="E45" s="15"/>
      <c r="F45" s="15"/>
      <c r="G45" s="15"/>
      <c r="H45" s="16"/>
      <c r="I45" s="16"/>
      <c r="J45" s="16"/>
      <c r="K45" s="16"/>
      <c r="L45" s="16"/>
      <c r="M45" s="16"/>
      <c r="N45" s="16"/>
      <c r="O45" s="16"/>
      <c r="P45" s="16"/>
      <c r="Q45" s="8"/>
      <c r="R45" s="8"/>
      <c r="S45" s="8"/>
    </row>
    <row r="46" spans="2:19" x14ac:dyDescent="0.25">
      <c r="B46" s="2" t="s">
        <v>161</v>
      </c>
      <c r="C46" s="2" t="s">
        <v>162</v>
      </c>
      <c r="E46" s="15"/>
      <c r="F46" s="15"/>
      <c r="G46" s="15"/>
      <c r="H46" s="16"/>
      <c r="I46" s="16"/>
      <c r="J46" s="16"/>
      <c r="K46" s="16"/>
      <c r="L46" s="16"/>
      <c r="M46" s="16"/>
      <c r="N46" s="16"/>
      <c r="O46" s="16"/>
      <c r="P46" s="16"/>
      <c r="Q46" s="8"/>
      <c r="R46" s="8"/>
      <c r="S46" s="8"/>
    </row>
    <row r="47" spans="2:19" x14ac:dyDescent="0.25">
      <c r="B47" t="s">
        <v>163</v>
      </c>
      <c r="C47" s="11" t="s">
        <v>42</v>
      </c>
      <c r="D47" t="s">
        <v>2</v>
      </c>
      <c r="E47" s="15">
        <v>10000</v>
      </c>
      <c r="F47" s="29">
        <v>15</v>
      </c>
      <c r="G47" s="15"/>
      <c r="H47" s="15">
        <f>E47-G47</f>
        <v>10000</v>
      </c>
      <c r="I47" s="15">
        <v>0</v>
      </c>
      <c r="J47" s="15">
        <v>1581.44</v>
      </c>
      <c r="K47" s="15">
        <f>J47-I47</f>
        <v>1581.44</v>
      </c>
      <c r="L47" s="15">
        <v>0</v>
      </c>
      <c r="M47" s="15">
        <v>0</v>
      </c>
      <c r="N47" s="15">
        <f>E47*0.115+175</f>
        <v>1325</v>
      </c>
      <c r="O47" s="15">
        <f>SUM(K47:N47)</f>
        <v>2906.44</v>
      </c>
      <c r="P47" s="18">
        <f>H47-O47</f>
        <v>7093.5599999999995</v>
      </c>
      <c r="Q47" s="10">
        <v>285.52999999999997</v>
      </c>
      <c r="R47" s="10">
        <v>2000</v>
      </c>
      <c r="S47" s="35">
        <f>Q47+R47</f>
        <v>2285.5299999999997</v>
      </c>
    </row>
    <row r="48" spans="2:19" x14ac:dyDescent="0.25">
      <c r="B48" s="2" t="s">
        <v>26</v>
      </c>
      <c r="E48" s="34">
        <f>E47</f>
        <v>10000</v>
      </c>
      <c r="F48" s="34"/>
      <c r="G48" s="34">
        <f>G47</f>
        <v>0</v>
      </c>
      <c r="H48" s="34">
        <f t="shared" ref="H48:S48" si="23">H47</f>
        <v>10000</v>
      </c>
      <c r="I48" s="34">
        <f t="shared" si="23"/>
        <v>0</v>
      </c>
      <c r="J48" s="34">
        <f t="shared" si="23"/>
        <v>1581.44</v>
      </c>
      <c r="K48" s="34">
        <f t="shared" si="23"/>
        <v>1581.44</v>
      </c>
      <c r="L48" s="34">
        <f t="shared" si="23"/>
        <v>0</v>
      </c>
      <c r="M48" s="34">
        <f t="shared" si="23"/>
        <v>0</v>
      </c>
      <c r="N48" s="34">
        <f t="shared" si="23"/>
        <v>1325</v>
      </c>
      <c r="O48" s="34">
        <f t="shared" si="23"/>
        <v>2906.44</v>
      </c>
      <c r="P48" s="34">
        <f t="shared" si="23"/>
        <v>7093.5599999999995</v>
      </c>
      <c r="Q48" s="34">
        <f t="shared" si="23"/>
        <v>285.52999999999997</v>
      </c>
      <c r="R48" s="34">
        <f t="shared" si="23"/>
        <v>2000</v>
      </c>
      <c r="S48" s="34">
        <f t="shared" si="23"/>
        <v>2285.5299999999997</v>
      </c>
    </row>
    <row r="49" spans="2:19" x14ac:dyDescent="0.25">
      <c r="B49" s="2"/>
      <c r="E49" s="15"/>
      <c r="F49" s="15"/>
      <c r="G49" s="15"/>
      <c r="H49" s="16"/>
      <c r="I49" s="16"/>
      <c r="J49" s="16"/>
      <c r="K49" s="16"/>
      <c r="L49" s="16"/>
      <c r="M49" s="16"/>
      <c r="N49" s="16"/>
      <c r="O49" s="16"/>
      <c r="P49" s="16"/>
      <c r="Q49" s="8"/>
      <c r="R49" s="8"/>
      <c r="S49" s="8"/>
    </row>
    <row r="51" spans="2:19" ht="18.75" x14ac:dyDescent="0.3">
      <c r="D51" s="4" t="s">
        <v>105</v>
      </c>
      <c r="E51" s="17">
        <f>E8+E19+E25+E39+E44+E48</f>
        <v>158954.95000000001</v>
      </c>
      <c r="F51" s="17"/>
      <c r="G51" s="17">
        <f>G8+G19+G25+G39+G44+G48</f>
        <v>386.37</v>
      </c>
      <c r="H51" s="17">
        <f t="shared" ref="H51:S51" si="24">H8+H19+H25+H39+H44+H48</f>
        <v>158568.58000000002</v>
      </c>
      <c r="I51" s="17">
        <f t="shared" si="24"/>
        <v>274.08999999999997</v>
      </c>
      <c r="J51" s="17">
        <f t="shared" si="24"/>
        <v>19499.7</v>
      </c>
      <c r="K51" s="17">
        <f t="shared" si="24"/>
        <v>19225.61</v>
      </c>
      <c r="L51" s="17">
        <f t="shared" si="24"/>
        <v>0</v>
      </c>
      <c r="M51" s="17">
        <f t="shared" si="24"/>
        <v>0</v>
      </c>
      <c r="N51" s="17">
        <f t="shared" si="24"/>
        <v>20718.179249999997</v>
      </c>
      <c r="O51" s="17">
        <f t="shared" si="24"/>
        <v>39943.789249999994</v>
      </c>
      <c r="P51" s="17">
        <f t="shared" si="24"/>
        <v>118624.79074999997</v>
      </c>
      <c r="Q51" s="17">
        <f t="shared" si="24"/>
        <v>7020.3799999999992</v>
      </c>
      <c r="R51" s="17">
        <f t="shared" si="24"/>
        <v>31790.989999999998</v>
      </c>
      <c r="S51" s="17">
        <f t="shared" si="24"/>
        <v>38811.370000000003</v>
      </c>
    </row>
    <row r="55" spans="2:19" ht="15.75" thickBot="1" x14ac:dyDescent="0.3">
      <c r="E55" s="375"/>
      <c r="F55" s="375"/>
      <c r="N55" s="375"/>
      <c r="O55" s="375"/>
    </row>
    <row r="57" spans="2:19" x14ac:dyDescent="0.25">
      <c r="E57" s="377" t="s">
        <v>146</v>
      </c>
      <c r="F57" s="377"/>
      <c r="N57" s="377" t="s">
        <v>157</v>
      </c>
      <c r="O57" s="377"/>
    </row>
  </sheetData>
  <mergeCells count="6">
    <mergeCell ref="C2:D2"/>
    <mergeCell ref="E3:S3"/>
    <mergeCell ref="E55:F55"/>
    <mergeCell ref="N55:O55"/>
    <mergeCell ref="E57:F57"/>
    <mergeCell ref="N57:O57"/>
  </mergeCells>
  <pageMargins left="0.70866141732283472" right="0.70866141732283472" top="0.74803149606299213" bottom="0.74803149606299213" header="0.31496062992125984" footer="0.31496062992125984"/>
  <pageSetup paperSize="300" scale="57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57"/>
  <sheetViews>
    <sheetView topLeftCell="C22" zoomScale="85" zoomScaleNormal="85" workbookViewId="0">
      <selection activeCell="P7" sqref="P7"/>
    </sheetView>
  </sheetViews>
  <sheetFormatPr baseColWidth="10" defaultRowHeight="15" x14ac:dyDescent="0.25"/>
  <cols>
    <col min="2" max="2" width="16.5703125" customWidth="1"/>
    <col min="3" max="3" width="34.140625" customWidth="1"/>
    <col min="4" max="4" width="29.85546875" customWidth="1"/>
    <col min="5" max="5" width="18.42578125" customWidth="1"/>
    <col min="8" max="8" width="21" customWidth="1"/>
    <col min="9" max="9" width="0" hidden="1" customWidth="1"/>
    <col min="10" max="10" width="14.5703125" hidden="1" customWidth="1"/>
    <col min="11" max="11" width="13.42578125" customWidth="1"/>
    <col min="12" max="12" width="11.42578125" customWidth="1"/>
    <col min="13" max="13" width="11.42578125" hidden="1" customWidth="1"/>
    <col min="14" max="14" width="14" customWidth="1"/>
    <col min="15" max="15" width="18.5703125" customWidth="1"/>
    <col min="16" max="16" width="16.85546875" customWidth="1"/>
    <col min="17" max="17" width="14" customWidth="1"/>
    <col min="18" max="18" width="15.7109375" customWidth="1"/>
    <col min="19" max="19" width="17" customWidth="1"/>
  </cols>
  <sheetData>
    <row r="2" spans="2:19" ht="18.75" x14ac:dyDescent="0.25">
      <c r="C2" s="372" t="s">
        <v>165</v>
      </c>
      <c r="D2" s="372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2:19" ht="15.75" thickBot="1" x14ac:dyDescent="0.3">
      <c r="E3" s="367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9"/>
    </row>
    <row r="4" spans="2:19" ht="36" thickTop="1" thickBot="1" x14ac:dyDescent="0.3">
      <c r="B4" s="31" t="s">
        <v>9</v>
      </c>
      <c r="C4" s="32" t="s">
        <v>10</v>
      </c>
      <c r="D4" s="32" t="s">
        <v>0</v>
      </c>
      <c r="E4" s="39" t="s">
        <v>11</v>
      </c>
      <c r="F4" s="39" t="s">
        <v>150</v>
      </c>
      <c r="G4" s="40" t="s">
        <v>167</v>
      </c>
      <c r="H4" s="39" t="s">
        <v>12</v>
      </c>
      <c r="I4" s="39" t="s">
        <v>107</v>
      </c>
      <c r="J4" s="39" t="s">
        <v>143</v>
      </c>
      <c r="K4" s="39" t="s">
        <v>13</v>
      </c>
      <c r="L4" s="39" t="s">
        <v>15</v>
      </c>
      <c r="M4" s="39" t="s">
        <v>106</v>
      </c>
      <c r="N4" s="39" t="s">
        <v>16</v>
      </c>
      <c r="O4" s="39" t="s">
        <v>17</v>
      </c>
      <c r="P4" s="39" t="s">
        <v>72</v>
      </c>
      <c r="Q4" s="32" t="s">
        <v>8</v>
      </c>
      <c r="R4" s="32" t="s">
        <v>18</v>
      </c>
      <c r="S4" s="41" t="s">
        <v>73</v>
      </c>
    </row>
    <row r="5" spans="2:19" ht="15.75" thickTop="1" x14ac:dyDescent="0.25">
      <c r="B5" s="2" t="s">
        <v>19</v>
      </c>
      <c r="C5" s="2" t="s">
        <v>20</v>
      </c>
      <c r="D5" s="2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2:19" x14ac:dyDescent="0.25">
      <c r="B6" t="s">
        <v>21</v>
      </c>
      <c r="C6" s="11" t="s">
        <v>22</v>
      </c>
      <c r="D6" t="s">
        <v>25</v>
      </c>
      <c r="E6" s="15">
        <v>16954.95</v>
      </c>
      <c r="F6" s="29">
        <v>15</v>
      </c>
      <c r="G6" s="15"/>
      <c r="H6" s="15">
        <f>E6-G6</f>
        <v>16954.95</v>
      </c>
      <c r="I6" s="15">
        <v>0</v>
      </c>
      <c r="J6" s="15">
        <v>3246.93</v>
      </c>
      <c r="K6" s="15">
        <f>J6-I6</f>
        <v>3246.93</v>
      </c>
      <c r="L6" s="15">
        <v>0</v>
      </c>
      <c r="M6" s="15">
        <v>0</v>
      </c>
      <c r="N6" s="15">
        <f>E6*0.115+296.71</f>
        <v>2246.52925</v>
      </c>
      <c r="O6" s="15">
        <f>SUM(K6:N6)</f>
        <v>5493.4592499999999</v>
      </c>
      <c r="P6" s="18">
        <f>H6-O6</f>
        <v>11461.490750000001</v>
      </c>
      <c r="Q6" s="10">
        <v>328.67</v>
      </c>
      <c r="R6" s="10">
        <v>3390.99</v>
      </c>
      <c r="S6" s="35">
        <f>SUM(Q6:R6)</f>
        <v>3719.66</v>
      </c>
    </row>
    <row r="7" spans="2:19" x14ac:dyDescent="0.25">
      <c r="B7" t="s">
        <v>23</v>
      </c>
      <c r="C7" s="11" t="s">
        <v>24</v>
      </c>
      <c r="D7" t="s">
        <v>3</v>
      </c>
      <c r="E7" s="15">
        <v>4850</v>
      </c>
      <c r="F7" s="29">
        <v>15</v>
      </c>
      <c r="G7" s="15"/>
      <c r="H7" s="15">
        <f t="shared" ref="H7" si="0">E7-G7</f>
        <v>4850</v>
      </c>
      <c r="I7" s="15">
        <v>0</v>
      </c>
      <c r="J7" s="15">
        <v>491.69</v>
      </c>
      <c r="K7" s="15">
        <f t="shared" ref="K7" si="1">J7-I7</f>
        <v>491.69</v>
      </c>
      <c r="L7" s="15">
        <v>0</v>
      </c>
      <c r="M7" s="15">
        <v>0</v>
      </c>
      <c r="N7" s="15">
        <f>E7*0.115+84.88</f>
        <v>642.63</v>
      </c>
      <c r="O7" s="15">
        <f t="shared" ref="O7" si="2">SUM(K7:N7)</f>
        <v>1134.32</v>
      </c>
      <c r="P7" s="18">
        <f>H7-O7</f>
        <v>3715.6800000000003</v>
      </c>
      <c r="Q7" s="10">
        <v>253.58</v>
      </c>
      <c r="R7" s="10">
        <v>970</v>
      </c>
      <c r="S7" s="35">
        <f t="shared" ref="S7" si="3">SUM(Q7:R7)</f>
        <v>1223.58</v>
      </c>
    </row>
    <row r="8" spans="2:19" x14ac:dyDescent="0.25">
      <c r="B8" s="7" t="s">
        <v>26</v>
      </c>
      <c r="C8" s="30"/>
      <c r="D8" s="30"/>
      <c r="E8" s="34">
        <f>SUM(E6:E7)</f>
        <v>21804.95</v>
      </c>
      <c r="F8" s="34"/>
      <c r="G8" s="34">
        <f t="shared" ref="G8:S8" si="4">SUM(G6:G7)</f>
        <v>0</v>
      </c>
      <c r="H8" s="34">
        <f t="shared" si="4"/>
        <v>21804.95</v>
      </c>
      <c r="I8" s="34">
        <f t="shared" si="4"/>
        <v>0</v>
      </c>
      <c r="J8" s="34">
        <f t="shared" si="4"/>
        <v>3738.62</v>
      </c>
      <c r="K8" s="34">
        <f t="shared" si="4"/>
        <v>3738.62</v>
      </c>
      <c r="L8" s="34">
        <f t="shared" si="4"/>
        <v>0</v>
      </c>
      <c r="M8" s="34">
        <f t="shared" si="4"/>
        <v>0</v>
      </c>
      <c r="N8" s="34">
        <f t="shared" si="4"/>
        <v>2889.1592500000002</v>
      </c>
      <c r="O8" s="34">
        <f t="shared" si="4"/>
        <v>6627.7792499999996</v>
      </c>
      <c r="P8" s="34">
        <f t="shared" si="4"/>
        <v>15177.170750000001</v>
      </c>
      <c r="Q8" s="34">
        <f t="shared" si="4"/>
        <v>582.25</v>
      </c>
      <c r="R8" s="34">
        <f t="shared" si="4"/>
        <v>4360.99</v>
      </c>
      <c r="S8" s="34">
        <f t="shared" si="4"/>
        <v>4943.24</v>
      </c>
    </row>
    <row r="9" spans="2:19" x14ac:dyDescent="0.25"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2:19" x14ac:dyDescent="0.25">
      <c r="B10" s="2" t="s">
        <v>27</v>
      </c>
      <c r="C10" s="2" t="s">
        <v>28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2:19" x14ac:dyDescent="0.25">
      <c r="B11" t="s">
        <v>32</v>
      </c>
      <c r="C11" s="11" t="s">
        <v>37</v>
      </c>
      <c r="D11" t="s">
        <v>1</v>
      </c>
      <c r="E11" s="15">
        <v>10000</v>
      </c>
      <c r="F11" s="29">
        <v>15</v>
      </c>
      <c r="G11" s="15"/>
      <c r="H11" s="15">
        <f>E11-G11</f>
        <v>10000</v>
      </c>
      <c r="I11" s="15">
        <v>0</v>
      </c>
      <c r="J11" s="15">
        <v>1581.44</v>
      </c>
      <c r="K11" s="15">
        <f>J11-I11</f>
        <v>1581.44</v>
      </c>
      <c r="L11" s="15">
        <v>0</v>
      </c>
      <c r="M11" s="15">
        <v>0</v>
      </c>
      <c r="N11" s="15">
        <f>E11*0.115+175</f>
        <v>1325</v>
      </c>
      <c r="O11" s="15">
        <f t="shared" ref="O11:O16" si="5">SUM(K11:N11)</f>
        <v>2906.44</v>
      </c>
      <c r="P11" s="18">
        <f t="shared" ref="P11:P18" si="6">H11-O11</f>
        <v>7093.5599999999995</v>
      </c>
      <c r="Q11" s="10">
        <v>285.52999999999997</v>
      </c>
      <c r="R11" s="10">
        <v>2000</v>
      </c>
      <c r="S11" s="35">
        <f>Q11+R11</f>
        <v>2285.5299999999997</v>
      </c>
    </row>
    <row r="12" spans="2:19" x14ac:dyDescent="0.25">
      <c r="B12" t="s">
        <v>33</v>
      </c>
      <c r="C12" s="11" t="s">
        <v>38</v>
      </c>
      <c r="D12" t="s">
        <v>74</v>
      </c>
      <c r="E12" s="15">
        <v>5350</v>
      </c>
      <c r="F12" s="29">
        <v>15</v>
      </c>
      <c r="G12" s="19"/>
      <c r="H12" s="15">
        <f t="shared" ref="H12:H18" si="7">E12-G12</f>
        <v>5350</v>
      </c>
      <c r="I12" s="15">
        <v>0</v>
      </c>
      <c r="J12" s="15">
        <v>588.20000000000005</v>
      </c>
      <c r="K12" s="15">
        <f t="shared" ref="K12:K18" si="8">J12-I12</f>
        <v>588.20000000000005</v>
      </c>
      <c r="L12" s="15">
        <v>0</v>
      </c>
      <c r="M12" s="15">
        <v>0</v>
      </c>
      <c r="N12" s="15">
        <f>E12*0.115+93.74</f>
        <v>708.99</v>
      </c>
      <c r="O12" s="15">
        <f t="shared" si="5"/>
        <v>1297.19</v>
      </c>
      <c r="P12" s="18">
        <f t="shared" si="6"/>
        <v>4052.81</v>
      </c>
      <c r="Q12" s="10">
        <v>256.68</v>
      </c>
      <c r="R12" s="10">
        <v>1070</v>
      </c>
      <c r="S12" s="35">
        <f>Q12+R12</f>
        <v>1326.68</v>
      </c>
    </row>
    <row r="13" spans="2:19" x14ac:dyDescent="0.25">
      <c r="B13" t="s">
        <v>34</v>
      </c>
      <c r="C13" t="s">
        <v>141</v>
      </c>
      <c r="D13" t="s">
        <v>75</v>
      </c>
      <c r="E13" s="21">
        <v>5350</v>
      </c>
      <c r="F13" s="29">
        <v>15</v>
      </c>
      <c r="G13" s="3"/>
      <c r="H13" s="15">
        <f t="shared" si="7"/>
        <v>5350</v>
      </c>
      <c r="I13" s="3">
        <v>0</v>
      </c>
      <c r="J13" s="3">
        <v>588.20000000000005</v>
      </c>
      <c r="K13" s="15">
        <f t="shared" si="8"/>
        <v>588.20000000000005</v>
      </c>
      <c r="L13" s="3">
        <v>0</v>
      </c>
      <c r="M13" s="3">
        <v>0</v>
      </c>
      <c r="N13" s="15">
        <f>E13*0.115+19.42</f>
        <v>634.66999999999996</v>
      </c>
      <c r="O13" s="15">
        <f t="shared" si="5"/>
        <v>1222.8699999999999</v>
      </c>
      <c r="P13" s="18">
        <f t="shared" si="6"/>
        <v>4127.13</v>
      </c>
      <c r="Q13" s="27">
        <v>256.68</v>
      </c>
      <c r="R13" s="10">
        <v>1070</v>
      </c>
      <c r="S13" s="35">
        <f>Q13+R13</f>
        <v>1326.68</v>
      </c>
    </row>
    <row r="14" spans="2:19" x14ac:dyDescent="0.25">
      <c r="B14" t="s">
        <v>35</v>
      </c>
      <c r="C14" t="s">
        <v>111</v>
      </c>
      <c r="D14" t="s">
        <v>77</v>
      </c>
      <c r="E14" s="15">
        <v>6000</v>
      </c>
      <c r="F14" s="29">
        <v>15</v>
      </c>
      <c r="G14" s="15"/>
      <c r="H14" s="15">
        <f t="shared" si="7"/>
        <v>6000</v>
      </c>
      <c r="I14" s="15">
        <v>0</v>
      </c>
      <c r="J14" s="15">
        <v>727.04</v>
      </c>
      <c r="K14" s="15">
        <f t="shared" si="8"/>
        <v>727.04</v>
      </c>
      <c r="L14" s="15">
        <v>0</v>
      </c>
      <c r="M14" s="15">
        <v>0</v>
      </c>
      <c r="N14" s="15">
        <f t="shared" ref="N14:N18" si="9">E14*0.115</f>
        <v>690</v>
      </c>
      <c r="O14" s="15">
        <f t="shared" si="5"/>
        <v>1417.04</v>
      </c>
      <c r="P14" s="18">
        <f t="shared" si="6"/>
        <v>4582.96</v>
      </c>
      <c r="Q14" s="10">
        <v>260.72000000000003</v>
      </c>
      <c r="R14" s="10">
        <v>1200</v>
      </c>
      <c r="S14" s="35">
        <f>Q14+R14</f>
        <v>1460.72</v>
      </c>
    </row>
    <row r="15" spans="2:19" x14ac:dyDescent="0.25">
      <c r="B15" t="s">
        <v>36</v>
      </c>
      <c r="C15" t="s">
        <v>86</v>
      </c>
      <c r="D15" t="s">
        <v>39</v>
      </c>
      <c r="E15" s="15">
        <v>4500</v>
      </c>
      <c r="F15" s="29">
        <v>15</v>
      </c>
      <c r="G15" s="15"/>
      <c r="H15" s="15">
        <f t="shared" si="7"/>
        <v>4500</v>
      </c>
      <c r="I15" s="15">
        <v>0</v>
      </c>
      <c r="J15" s="15">
        <v>428.97</v>
      </c>
      <c r="K15" s="15">
        <f t="shared" si="8"/>
        <v>428.97</v>
      </c>
      <c r="L15" s="15">
        <v>0</v>
      </c>
      <c r="M15" s="15">
        <v>0</v>
      </c>
      <c r="N15" s="15">
        <f>E15*0.115+87.5</f>
        <v>605</v>
      </c>
      <c r="O15" s="15">
        <f t="shared" si="5"/>
        <v>1033.97</v>
      </c>
      <c r="P15" s="18">
        <f t="shared" si="6"/>
        <v>3466.0299999999997</v>
      </c>
      <c r="Q15" s="10">
        <v>251.41</v>
      </c>
      <c r="R15" s="10">
        <v>900</v>
      </c>
      <c r="S15" s="35">
        <f>Q15+R15</f>
        <v>1151.4100000000001</v>
      </c>
    </row>
    <row r="16" spans="2:19" x14ac:dyDescent="0.25">
      <c r="B16" t="s">
        <v>115</v>
      </c>
      <c r="C16" t="s">
        <v>87</v>
      </c>
      <c r="D16" t="s">
        <v>39</v>
      </c>
      <c r="E16" s="15">
        <v>4500</v>
      </c>
      <c r="F16" s="29">
        <v>15</v>
      </c>
      <c r="G16" s="15"/>
      <c r="H16" s="15">
        <f t="shared" si="7"/>
        <v>4500</v>
      </c>
      <c r="I16" s="15">
        <v>0</v>
      </c>
      <c r="J16" s="15">
        <v>428.97</v>
      </c>
      <c r="K16" s="15">
        <f t="shared" si="8"/>
        <v>428.97</v>
      </c>
      <c r="L16" s="15">
        <v>0</v>
      </c>
      <c r="M16" s="15">
        <v>0</v>
      </c>
      <c r="N16" s="15">
        <f>E16*0.115+78.75</f>
        <v>596.25</v>
      </c>
      <c r="O16" s="15">
        <f t="shared" si="5"/>
        <v>1025.22</v>
      </c>
      <c r="P16" s="18">
        <f t="shared" si="6"/>
        <v>3474.7799999999997</v>
      </c>
      <c r="Q16" s="10">
        <v>251.41</v>
      </c>
      <c r="R16" s="10">
        <v>900</v>
      </c>
      <c r="S16" s="35">
        <f t="shared" ref="S16:S18" si="10">Q16+R16</f>
        <v>1151.4100000000001</v>
      </c>
    </row>
    <row r="17" spans="2:19" x14ac:dyDescent="0.25">
      <c r="B17" t="s">
        <v>116</v>
      </c>
      <c r="C17" t="s">
        <v>89</v>
      </c>
      <c r="D17" t="s">
        <v>4</v>
      </c>
      <c r="E17" s="15">
        <v>2700</v>
      </c>
      <c r="F17" s="29">
        <v>15</v>
      </c>
      <c r="G17" s="15"/>
      <c r="H17" s="15">
        <f t="shared" si="7"/>
        <v>2700</v>
      </c>
      <c r="I17" s="15">
        <v>147.32</v>
      </c>
      <c r="J17" s="15">
        <v>188.33</v>
      </c>
      <c r="K17" s="15">
        <f t="shared" si="8"/>
        <v>41.010000000000019</v>
      </c>
      <c r="L17" s="15">
        <v>0</v>
      </c>
      <c r="M17" s="15">
        <v>0</v>
      </c>
      <c r="N17" s="15">
        <f>E17*0.115+47.25</f>
        <v>357.75</v>
      </c>
      <c r="O17" s="15">
        <f>SUM(K17:N17)</f>
        <v>398.76</v>
      </c>
      <c r="P17" s="18">
        <f t="shared" si="6"/>
        <v>2301.2399999999998</v>
      </c>
      <c r="Q17" s="10">
        <v>240.25</v>
      </c>
      <c r="R17" s="10">
        <v>540</v>
      </c>
      <c r="S17" s="35">
        <f t="shared" si="10"/>
        <v>780.25</v>
      </c>
    </row>
    <row r="18" spans="2:19" x14ac:dyDescent="0.25">
      <c r="B18" t="s">
        <v>117</v>
      </c>
      <c r="C18" t="s">
        <v>88</v>
      </c>
      <c r="D18" t="s">
        <v>40</v>
      </c>
      <c r="E18" s="15">
        <v>3150</v>
      </c>
      <c r="F18" s="29">
        <v>15</v>
      </c>
      <c r="G18" s="15"/>
      <c r="H18" s="15">
        <f t="shared" si="7"/>
        <v>3150</v>
      </c>
      <c r="I18" s="15">
        <v>126.77</v>
      </c>
      <c r="J18" s="15">
        <v>237.29</v>
      </c>
      <c r="K18" s="15">
        <f t="shared" si="8"/>
        <v>110.52</v>
      </c>
      <c r="L18" s="15">
        <v>0</v>
      </c>
      <c r="M18" s="15">
        <v>0</v>
      </c>
      <c r="N18" s="15">
        <f t="shared" si="9"/>
        <v>362.25</v>
      </c>
      <c r="O18" s="15">
        <f>SUM(K18:N18)</f>
        <v>472.77</v>
      </c>
      <c r="P18" s="18">
        <f t="shared" si="6"/>
        <v>2677.23</v>
      </c>
      <c r="Q18" s="10">
        <v>243.04</v>
      </c>
      <c r="R18" s="10">
        <v>630</v>
      </c>
      <c r="S18" s="35">
        <f t="shared" si="10"/>
        <v>873.04</v>
      </c>
    </row>
    <row r="19" spans="2:19" x14ac:dyDescent="0.25">
      <c r="B19" s="2" t="s">
        <v>26</v>
      </c>
      <c r="C19" s="30"/>
      <c r="D19" s="30"/>
      <c r="E19" s="34">
        <f t="shared" ref="E19:S19" si="11">SUM(E11:E18)</f>
        <v>41550</v>
      </c>
      <c r="F19" s="34"/>
      <c r="G19" s="34">
        <f t="shared" si="11"/>
        <v>0</v>
      </c>
      <c r="H19" s="34">
        <f t="shared" si="11"/>
        <v>41550</v>
      </c>
      <c r="I19" s="34">
        <f t="shared" si="11"/>
        <v>274.08999999999997</v>
      </c>
      <c r="J19" s="34">
        <f t="shared" si="11"/>
        <v>4768.4400000000005</v>
      </c>
      <c r="K19" s="34">
        <f t="shared" si="11"/>
        <v>4494.3500000000013</v>
      </c>
      <c r="L19" s="34">
        <f t="shared" si="11"/>
        <v>0</v>
      </c>
      <c r="M19" s="34">
        <f t="shared" si="11"/>
        <v>0</v>
      </c>
      <c r="N19" s="34">
        <f t="shared" si="11"/>
        <v>5279.91</v>
      </c>
      <c r="O19" s="34">
        <f t="shared" si="11"/>
        <v>9774.26</v>
      </c>
      <c r="P19" s="34">
        <f t="shared" si="11"/>
        <v>31775.739999999994</v>
      </c>
      <c r="Q19" s="34">
        <f t="shared" si="11"/>
        <v>2045.7200000000003</v>
      </c>
      <c r="R19" s="34">
        <f t="shared" si="11"/>
        <v>8310</v>
      </c>
      <c r="S19" s="34">
        <f t="shared" si="11"/>
        <v>10355.720000000001</v>
      </c>
    </row>
    <row r="20" spans="2:19" x14ac:dyDescent="0.25">
      <c r="B20" s="2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2:19" x14ac:dyDescent="0.25">
      <c r="B21" s="2" t="s">
        <v>50</v>
      </c>
      <c r="C21" s="2" t="s">
        <v>160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2:19" x14ac:dyDescent="0.25">
      <c r="B22" t="s">
        <v>119</v>
      </c>
      <c r="C22" t="s">
        <v>91</v>
      </c>
      <c r="D22" t="s">
        <v>76</v>
      </c>
      <c r="E22" s="15">
        <v>5350</v>
      </c>
      <c r="F22" s="29">
        <v>15</v>
      </c>
      <c r="G22" s="15"/>
      <c r="H22" s="15">
        <f>E22-G22</f>
        <v>5350</v>
      </c>
      <c r="I22" s="15">
        <v>0</v>
      </c>
      <c r="J22" s="15">
        <v>588.20000000000005</v>
      </c>
      <c r="K22" s="15">
        <f>J22-I22</f>
        <v>588.20000000000005</v>
      </c>
      <c r="L22" s="15">
        <v>0</v>
      </c>
      <c r="M22" s="15">
        <v>0</v>
      </c>
      <c r="N22" s="15">
        <f>E22*0.115+93.66</f>
        <v>708.91</v>
      </c>
      <c r="O22" s="15">
        <f>SUM(K22:N22)</f>
        <v>1297.1100000000001</v>
      </c>
      <c r="P22" s="18">
        <f>H22-O22</f>
        <v>4052.89</v>
      </c>
      <c r="Q22" s="10">
        <v>256.68</v>
      </c>
      <c r="R22" s="10">
        <v>1070</v>
      </c>
      <c r="S22" s="35">
        <f>Q22+R22</f>
        <v>1326.68</v>
      </c>
    </row>
    <row r="23" spans="2:19" x14ac:dyDescent="0.25">
      <c r="B23" t="s">
        <v>120</v>
      </c>
      <c r="C23" t="s">
        <v>93</v>
      </c>
      <c r="D23" t="s">
        <v>78</v>
      </c>
      <c r="E23" s="15">
        <v>5350</v>
      </c>
      <c r="F23" s="29">
        <v>15</v>
      </c>
      <c r="G23" s="15"/>
      <c r="H23" s="15">
        <f>E23-G23</f>
        <v>5350</v>
      </c>
      <c r="I23" s="15">
        <v>0</v>
      </c>
      <c r="J23" s="15">
        <v>588.20000000000005</v>
      </c>
      <c r="K23" s="15">
        <f>J23-I23</f>
        <v>588.20000000000005</v>
      </c>
      <c r="L23" s="15">
        <v>0</v>
      </c>
      <c r="M23" s="15">
        <v>0</v>
      </c>
      <c r="N23" s="15">
        <f>E23*0.115+93.81</f>
        <v>709.06</v>
      </c>
      <c r="O23" s="15">
        <f>SUM(K23:N23)</f>
        <v>1297.26</v>
      </c>
      <c r="P23" s="18">
        <f>H23-O23</f>
        <v>4052.74</v>
      </c>
      <c r="Q23" s="10">
        <v>256.68</v>
      </c>
      <c r="R23" s="10">
        <v>1070</v>
      </c>
      <c r="S23" s="35">
        <f>Q23+R23</f>
        <v>1326.68</v>
      </c>
    </row>
    <row r="24" spans="2:19" x14ac:dyDescent="0.25">
      <c r="B24" t="s">
        <v>121</v>
      </c>
      <c r="C24" t="s">
        <v>114</v>
      </c>
      <c r="D24" t="s">
        <v>79</v>
      </c>
      <c r="E24" s="15">
        <v>5350</v>
      </c>
      <c r="F24" s="29">
        <v>15</v>
      </c>
      <c r="G24" s="15"/>
      <c r="H24" s="15">
        <f>E24-G24</f>
        <v>5350</v>
      </c>
      <c r="I24" s="15">
        <v>0</v>
      </c>
      <c r="J24" s="15">
        <v>588.20000000000005</v>
      </c>
      <c r="K24" s="15">
        <f>J24-I24</f>
        <v>588.20000000000005</v>
      </c>
      <c r="L24" s="15">
        <v>0</v>
      </c>
      <c r="M24" s="15">
        <v>0</v>
      </c>
      <c r="N24" s="15">
        <f t="shared" ref="N24" si="12">E24*0.115</f>
        <v>615.25</v>
      </c>
      <c r="O24" s="15">
        <f>SUM(K24:N24)</f>
        <v>1203.45</v>
      </c>
      <c r="P24" s="18">
        <f>H24-O24</f>
        <v>4146.55</v>
      </c>
      <c r="Q24" s="10">
        <v>256.68</v>
      </c>
      <c r="R24" s="10">
        <v>1070</v>
      </c>
      <c r="S24" s="35">
        <f>Q24+R24</f>
        <v>1326.68</v>
      </c>
    </row>
    <row r="25" spans="2:19" x14ac:dyDescent="0.25">
      <c r="B25" s="2" t="s">
        <v>26</v>
      </c>
      <c r="C25" s="30"/>
      <c r="D25" s="30"/>
      <c r="E25" s="34">
        <f>SUM(E22:E24)</f>
        <v>16050</v>
      </c>
      <c r="F25" s="34"/>
      <c r="G25" s="34">
        <f>SUM(G22:G24)</f>
        <v>0</v>
      </c>
      <c r="H25" s="34">
        <f t="shared" ref="H25:S25" si="13">SUM(H22:H24)</f>
        <v>16050</v>
      </c>
      <c r="I25" s="34">
        <f t="shared" si="13"/>
        <v>0</v>
      </c>
      <c r="J25" s="34">
        <f t="shared" si="13"/>
        <v>1764.6000000000001</v>
      </c>
      <c r="K25" s="34">
        <f t="shared" si="13"/>
        <v>1764.6000000000001</v>
      </c>
      <c r="L25" s="34">
        <f t="shared" si="13"/>
        <v>0</v>
      </c>
      <c r="M25" s="34">
        <f t="shared" si="13"/>
        <v>0</v>
      </c>
      <c r="N25" s="34">
        <f t="shared" si="13"/>
        <v>2033.2199999999998</v>
      </c>
      <c r="O25" s="34">
        <f t="shared" si="13"/>
        <v>3797.8199999999997</v>
      </c>
      <c r="P25" s="34">
        <f t="shared" si="13"/>
        <v>12252.18</v>
      </c>
      <c r="Q25" s="34">
        <f t="shared" si="13"/>
        <v>770.04</v>
      </c>
      <c r="R25" s="34">
        <f t="shared" si="13"/>
        <v>3210</v>
      </c>
      <c r="S25" s="34">
        <f t="shared" si="13"/>
        <v>3980.04</v>
      </c>
    </row>
    <row r="26" spans="2:19" x14ac:dyDescent="0.25"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2:19" x14ac:dyDescent="0.25">
      <c r="B27" s="2" t="s">
        <v>63</v>
      </c>
      <c r="C27" s="2" t="s">
        <v>51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2:19" x14ac:dyDescent="0.25">
      <c r="B28" t="s">
        <v>122</v>
      </c>
      <c r="C28" t="s">
        <v>97</v>
      </c>
      <c r="D28" t="s">
        <v>80</v>
      </c>
      <c r="E28" s="15">
        <v>5350</v>
      </c>
      <c r="F28" s="29">
        <v>15</v>
      </c>
      <c r="G28" s="15"/>
      <c r="H28" s="15">
        <f>E28-G28</f>
        <v>5350</v>
      </c>
      <c r="I28" s="15">
        <v>0</v>
      </c>
      <c r="J28" s="15">
        <v>588.20000000000005</v>
      </c>
      <c r="K28" s="15">
        <f>J28-I28</f>
        <v>588.20000000000005</v>
      </c>
      <c r="L28" s="15">
        <v>0</v>
      </c>
      <c r="M28" s="15">
        <v>0</v>
      </c>
      <c r="N28" s="15">
        <f>E28*0.115+93.65</f>
        <v>708.9</v>
      </c>
      <c r="O28" s="15">
        <f>SUM(K28:N28)</f>
        <v>1297.0999999999999</v>
      </c>
      <c r="P28" s="18">
        <f t="shared" ref="P28:P38" si="14">H28-O28</f>
        <v>4052.9</v>
      </c>
      <c r="Q28" s="10">
        <v>256.68</v>
      </c>
      <c r="R28" s="10">
        <v>1070</v>
      </c>
      <c r="S28" s="35">
        <f t="shared" ref="S28:S38" si="15">Q28+R28</f>
        <v>1326.68</v>
      </c>
    </row>
    <row r="29" spans="2:19" x14ac:dyDescent="0.25">
      <c r="B29" t="s">
        <v>123</v>
      </c>
      <c r="C29" t="s">
        <v>100</v>
      </c>
      <c r="D29" t="s">
        <v>80</v>
      </c>
      <c r="E29" s="15">
        <v>5350</v>
      </c>
      <c r="F29" s="29">
        <v>15</v>
      </c>
      <c r="G29" s="15"/>
      <c r="H29" s="15">
        <f t="shared" ref="H29:H38" si="16">E29-G29</f>
        <v>5350</v>
      </c>
      <c r="I29" s="15">
        <v>0</v>
      </c>
      <c r="J29" s="15">
        <v>588.20000000000005</v>
      </c>
      <c r="K29" s="15">
        <f t="shared" ref="K29:K38" si="17">J29-I29</f>
        <v>588.20000000000005</v>
      </c>
      <c r="L29" s="15">
        <v>0</v>
      </c>
      <c r="M29" s="15">
        <v>0</v>
      </c>
      <c r="N29" s="15">
        <f>E29*0.115+93.71</f>
        <v>708.96</v>
      </c>
      <c r="O29" s="15">
        <f t="shared" ref="O29:O38" si="18">SUM(K29:N29)</f>
        <v>1297.1600000000001</v>
      </c>
      <c r="P29" s="18">
        <f t="shared" si="14"/>
        <v>4052.84</v>
      </c>
      <c r="Q29" s="10">
        <v>256.68</v>
      </c>
      <c r="R29" s="10">
        <v>1070</v>
      </c>
      <c r="S29" s="35">
        <f t="shared" si="15"/>
        <v>1326.68</v>
      </c>
    </row>
    <row r="30" spans="2:19" x14ac:dyDescent="0.25">
      <c r="B30" t="s">
        <v>124</v>
      </c>
      <c r="C30" t="s">
        <v>96</v>
      </c>
      <c r="D30" t="s">
        <v>78</v>
      </c>
      <c r="E30" s="15">
        <v>5350</v>
      </c>
      <c r="F30" s="29">
        <v>15</v>
      </c>
      <c r="G30" s="15"/>
      <c r="H30" s="15">
        <f t="shared" si="16"/>
        <v>5350</v>
      </c>
      <c r="I30" s="15">
        <v>0</v>
      </c>
      <c r="J30" s="15">
        <v>588.20000000000005</v>
      </c>
      <c r="K30" s="15">
        <f t="shared" si="17"/>
        <v>588.20000000000005</v>
      </c>
      <c r="L30" s="15">
        <v>0</v>
      </c>
      <c r="M30" s="15">
        <v>0</v>
      </c>
      <c r="N30" s="15">
        <f>E30*0.115+99.88</f>
        <v>715.13</v>
      </c>
      <c r="O30" s="15">
        <f t="shared" si="18"/>
        <v>1303.33</v>
      </c>
      <c r="P30" s="18">
        <f t="shared" si="14"/>
        <v>4046.67</v>
      </c>
      <c r="Q30" s="10">
        <v>256.68</v>
      </c>
      <c r="R30" s="10">
        <v>1070</v>
      </c>
      <c r="S30" s="35">
        <f t="shared" si="15"/>
        <v>1326.68</v>
      </c>
    </row>
    <row r="31" spans="2:19" x14ac:dyDescent="0.25">
      <c r="B31" t="s">
        <v>125</v>
      </c>
      <c r="C31" t="s">
        <v>104</v>
      </c>
      <c r="D31" t="s">
        <v>78</v>
      </c>
      <c r="E31" s="15">
        <v>5350</v>
      </c>
      <c r="F31" s="29">
        <v>15</v>
      </c>
      <c r="G31" s="15"/>
      <c r="H31" s="15">
        <f t="shared" si="16"/>
        <v>5350</v>
      </c>
      <c r="I31" s="15">
        <v>0</v>
      </c>
      <c r="J31" s="15">
        <v>588.20000000000005</v>
      </c>
      <c r="K31" s="15">
        <f t="shared" si="17"/>
        <v>588.20000000000005</v>
      </c>
      <c r="L31" s="15">
        <v>0</v>
      </c>
      <c r="M31" s="15">
        <v>0</v>
      </c>
      <c r="N31" s="15">
        <f t="shared" ref="N31:N38" si="19">E31*0.115+93.63</f>
        <v>708.88</v>
      </c>
      <c r="O31" s="15">
        <f t="shared" si="18"/>
        <v>1297.08</v>
      </c>
      <c r="P31" s="18">
        <f t="shared" si="14"/>
        <v>4052.92</v>
      </c>
      <c r="Q31" s="10">
        <v>256.68</v>
      </c>
      <c r="R31" s="10">
        <v>1070</v>
      </c>
      <c r="S31" s="35">
        <f t="shared" si="15"/>
        <v>1326.68</v>
      </c>
    </row>
    <row r="32" spans="2:19" x14ac:dyDescent="0.25">
      <c r="B32" t="s">
        <v>126</v>
      </c>
      <c r="C32" t="s">
        <v>94</v>
      </c>
      <c r="D32" t="s">
        <v>81</v>
      </c>
      <c r="E32" s="15">
        <v>5350</v>
      </c>
      <c r="F32" s="29">
        <v>15</v>
      </c>
      <c r="G32" s="15"/>
      <c r="H32" s="15">
        <f t="shared" si="16"/>
        <v>5350</v>
      </c>
      <c r="I32" s="15">
        <v>0</v>
      </c>
      <c r="J32" s="15">
        <v>588.20000000000005</v>
      </c>
      <c r="K32" s="15">
        <f t="shared" si="17"/>
        <v>588.20000000000005</v>
      </c>
      <c r="L32" s="15">
        <v>0</v>
      </c>
      <c r="M32" s="15">
        <v>0</v>
      </c>
      <c r="N32" s="15">
        <f t="shared" si="19"/>
        <v>708.88</v>
      </c>
      <c r="O32" s="15">
        <f t="shared" si="18"/>
        <v>1297.08</v>
      </c>
      <c r="P32" s="18">
        <f t="shared" si="14"/>
        <v>4052.92</v>
      </c>
      <c r="Q32" s="10">
        <v>256.68</v>
      </c>
      <c r="R32" s="10">
        <v>1070</v>
      </c>
      <c r="S32" s="35">
        <f t="shared" si="15"/>
        <v>1326.68</v>
      </c>
    </row>
    <row r="33" spans="2:19" x14ac:dyDescent="0.25">
      <c r="B33" t="s">
        <v>127</v>
      </c>
      <c r="C33" t="s">
        <v>98</v>
      </c>
      <c r="D33" t="s">
        <v>81</v>
      </c>
      <c r="E33" s="15">
        <v>5350</v>
      </c>
      <c r="F33" s="29">
        <v>15</v>
      </c>
      <c r="G33" s="15"/>
      <c r="H33" s="15">
        <f t="shared" si="16"/>
        <v>5350</v>
      </c>
      <c r="I33" s="15">
        <v>0</v>
      </c>
      <c r="J33" s="15">
        <v>588.20000000000005</v>
      </c>
      <c r="K33" s="15">
        <f t="shared" si="17"/>
        <v>588.20000000000005</v>
      </c>
      <c r="L33" s="15">
        <v>0</v>
      </c>
      <c r="M33" s="15">
        <v>0</v>
      </c>
      <c r="N33" s="15">
        <f t="shared" si="19"/>
        <v>708.88</v>
      </c>
      <c r="O33" s="15">
        <f t="shared" si="18"/>
        <v>1297.08</v>
      </c>
      <c r="P33" s="18">
        <f t="shared" si="14"/>
        <v>4052.92</v>
      </c>
      <c r="Q33" s="10">
        <v>256.68</v>
      </c>
      <c r="R33" s="10">
        <v>1070</v>
      </c>
      <c r="S33" s="35">
        <f t="shared" si="15"/>
        <v>1326.68</v>
      </c>
    </row>
    <row r="34" spans="2:19" x14ac:dyDescent="0.25">
      <c r="B34" t="s">
        <v>128</v>
      </c>
      <c r="C34" t="s">
        <v>101</v>
      </c>
      <c r="D34" t="s">
        <v>81</v>
      </c>
      <c r="E34" s="15">
        <v>5350</v>
      </c>
      <c r="F34" s="29">
        <v>15</v>
      </c>
      <c r="G34" s="15"/>
      <c r="H34" s="15">
        <f t="shared" si="16"/>
        <v>5350</v>
      </c>
      <c r="I34" s="15">
        <v>0</v>
      </c>
      <c r="J34" s="15">
        <v>588.20000000000005</v>
      </c>
      <c r="K34" s="15">
        <f t="shared" si="17"/>
        <v>588.20000000000005</v>
      </c>
      <c r="L34" s="15">
        <v>0</v>
      </c>
      <c r="M34" s="15">
        <v>0</v>
      </c>
      <c r="N34" s="15">
        <f t="shared" si="19"/>
        <v>708.88</v>
      </c>
      <c r="O34" s="15">
        <f t="shared" si="18"/>
        <v>1297.08</v>
      </c>
      <c r="P34" s="18">
        <f t="shared" si="14"/>
        <v>4052.92</v>
      </c>
      <c r="Q34" s="10">
        <v>256.68</v>
      </c>
      <c r="R34" s="10">
        <v>1070</v>
      </c>
      <c r="S34" s="35">
        <f t="shared" si="15"/>
        <v>1326.68</v>
      </c>
    </row>
    <row r="35" spans="2:19" x14ac:dyDescent="0.25">
      <c r="B35" t="s">
        <v>129</v>
      </c>
      <c r="C35" t="s">
        <v>95</v>
      </c>
      <c r="D35" t="s">
        <v>82</v>
      </c>
      <c r="E35" s="15">
        <v>5350</v>
      </c>
      <c r="F35" s="29">
        <v>15</v>
      </c>
      <c r="G35" s="15"/>
      <c r="H35" s="15">
        <f t="shared" si="16"/>
        <v>5350</v>
      </c>
      <c r="I35" s="15">
        <v>0</v>
      </c>
      <c r="J35" s="15">
        <v>588.20000000000005</v>
      </c>
      <c r="K35" s="15">
        <f t="shared" si="17"/>
        <v>588.20000000000005</v>
      </c>
      <c r="L35" s="15">
        <v>0</v>
      </c>
      <c r="M35" s="15">
        <v>0</v>
      </c>
      <c r="N35" s="15">
        <f t="shared" si="19"/>
        <v>708.88</v>
      </c>
      <c r="O35" s="15">
        <f t="shared" si="18"/>
        <v>1297.08</v>
      </c>
      <c r="P35" s="18">
        <f t="shared" si="14"/>
        <v>4052.92</v>
      </c>
      <c r="Q35" s="10">
        <v>256.68</v>
      </c>
      <c r="R35" s="10">
        <v>1070</v>
      </c>
      <c r="S35" s="35">
        <f t="shared" si="15"/>
        <v>1326.68</v>
      </c>
    </row>
    <row r="36" spans="2:19" x14ac:dyDescent="0.25">
      <c r="B36" t="s">
        <v>130</v>
      </c>
      <c r="C36" t="s">
        <v>102</v>
      </c>
      <c r="D36" t="s">
        <v>82</v>
      </c>
      <c r="E36" s="15">
        <v>5350</v>
      </c>
      <c r="F36" s="29">
        <v>15</v>
      </c>
      <c r="G36" s="15"/>
      <c r="H36" s="15">
        <f t="shared" si="16"/>
        <v>5350</v>
      </c>
      <c r="I36" s="15">
        <v>0</v>
      </c>
      <c r="J36" s="15">
        <v>588.20000000000005</v>
      </c>
      <c r="K36" s="15">
        <f t="shared" si="17"/>
        <v>588.20000000000005</v>
      </c>
      <c r="L36" s="15">
        <v>0</v>
      </c>
      <c r="M36" s="15">
        <v>0</v>
      </c>
      <c r="N36" s="15">
        <f t="shared" si="19"/>
        <v>708.88</v>
      </c>
      <c r="O36" s="15">
        <f t="shared" si="18"/>
        <v>1297.08</v>
      </c>
      <c r="P36" s="18">
        <f t="shared" si="14"/>
        <v>4052.92</v>
      </c>
      <c r="Q36" s="10">
        <v>256.68</v>
      </c>
      <c r="R36" s="10">
        <v>1070</v>
      </c>
      <c r="S36" s="35">
        <f t="shared" si="15"/>
        <v>1326.68</v>
      </c>
    </row>
    <row r="37" spans="2:19" x14ac:dyDescent="0.25">
      <c r="B37" t="s">
        <v>131</v>
      </c>
      <c r="C37" t="s">
        <v>85</v>
      </c>
      <c r="D37" t="s">
        <v>83</v>
      </c>
      <c r="E37" s="15">
        <v>5350</v>
      </c>
      <c r="F37" s="29">
        <v>15</v>
      </c>
      <c r="G37" s="15"/>
      <c r="H37" s="15">
        <f t="shared" si="16"/>
        <v>5350</v>
      </c>
      <c r="I37" s="15">
        <v>0</v>
      </c>
      <c r="J37" s="15">
        <v>588.20000000000005</v>
      </c>
      <c r="K37" s="15">
        <f t="shared" si="17"/>
        <v>588.20000000000005</v>
      </c>
      <c r="L37" s="15">
        <v>0</v>
      </c>
      <c r="M37" s="15">
        <v>0</v>
      </c>
      <c r="N37" s="15">
        <f t="shared" si="19"/>
        <v>708.88</v>
      </c>
      <c r="O37" s="15">
        <f t="shared" si="18"/>
        <v>1297.08</v>
      </c>
      <c r="P37" s="18">
        <f t="shared" si="14"/>
        <v>4052.92</v>
      </c>
      <c r="Q37" s="10">
        <v>256.68</v>
      </c>
      <c r="R37" s="10">
        <v>1070</v>
      </c>
      <c r="S37" s="35">
        <f t="shared" si="15"/>
        <v>1326.68</v>
      </c>
    </row>
    <row r="38" spans="2:19" x14ac:dyDescent="0.25">
      <c r="B38" t="s">
        <v>132</v>
      </c>
      <c r="C38" t="s">
        <v>103</v>
      </c>
      <c r="D38" t="s">
        <v>83</v>
      </c>
      <c r="E38" s="15">
        <v>5350</v>
      </c>
      <c r="F38" s="29">
        <v>15</v>
      </c>
      <c r="G38" s="15"/>
      <c r="H38" s="15">
        <f t="shared" si="16"/>
        <v>5350</v>
      </c>
      <c r="I38" s="15">
        <v>0</v>
      </c>
      <c r="J38" s="15">
        <v>588.20000000000005</v>
      </c>
      <c r="K38" s="15">
        <f t="shared" si="17"/>
        <v>588.20000000000005</v>
      </c>
      <c r="L38" s="15">
        <v>0</v>
      </c>
      <c r="M38" s="15">
        <v>0</v>
      </c>
      <c r="N38" s="15">
        <f t="shared" si="19"/>
        <v>708.88</v>
      </c>
      <c r="O38" s="15">
        <f t="shared" si="18"/>
        <v>1297.08</v>
      </c>
      <c r="P38" s="18">
        <f t="shared" si="14"/>
        <v>4052.92</v>
      </c>
      <c r="Q38" s="10">
        <v>256.68</v>
      </c>
      <c r="R38" s="10">
        <v>1070</v>
      </c>
      <c r="S38" s="35">
        <f t="shared" si="15"/>
        <v>1326.68</v>
      </c>
    </row>
    <row r="39" spans="2:19" x14ac:dyDescent="0.25">
      <c r="B39" s="2" t="s">
        <v>26</v>
      </c>
      <c r="C39" s="30"/>
      <c r="D39" s="30"/>
      <c r="E39" s="34">
        <f>SUM(E28:E38)</f>
        <v>58850</v>
      </c>
      <c r="F39" s="34"/>
      <c r="G39" s="34">
        <f>SUM(G28:G38)</f>
        <v>0</v>
      </c>
      <c r="H39" s="34">
        <f>SUM(H28:H38)</f>
        <v>58850</v>
      </c>
      <c r="I39" s="34">
        <f t="shared" ref="I39:S39" si="20">SUM(I28:I38)</f>
        <v>0</v>
      </c>
      <c r="J39" s="34">
        <f t="shared" si="20"/>
        <v>6470.1999999999989</v>
      </c>
      <c r="K39" s="34">
        <f t="shared" si="20"/>
        <v>6470.1999999999989</v>
      </c>
      <c r="L39" s="34">
        <f t="shared" si="20"/>
        <v>0</v>
      </c>
      <c r="M39" s="34">
        <f t="shared" si="20"/>
        <v>0</v>
      </c>
      <c r="N39" s="34">
        <f t="shared" si="20"/>
        <v>7804.0300000000007</v>
      </c>
      <c r="O39" s="34">
        <f t="shared" si="20"/>
        <v>14274.23</v>
      </c>
      <c r="P39" s="34">
        <f t="shared" si="20"/>
        <v>44575.76999999999</v>
      </c>
      <c r="Q39" s="34">
        <f t="shared" si="20"/>
        <v>2823.4799999999996</v>
      </c>
      <c r="R39" s="34">
        <f t="shared" si="20"/>
        <v>11770</v>
      </c>
      <c r="S39" s="34">
        <f t="shared" si="20"/>
        <v>14593.480000000001</v>
      </c>
    </row>
    <row r="40" spans="2:19" x14ac:dyDescent="0.25"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2:19" x14ac:dyDescent="0.25">
      <c r="B41" s="2" t="s">
        <v>140</v>
      </c>
      <c r="C41" s="2" t="s">
        <v>64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2:19" x14ac:dyDescent="0.25">
      <c r="B42" t="s">
        <v>133</v>
      </c>
      <c r="C42" t="s">
        <v>99</v>
      </c>
      <c r="D42" t="s">
        <v>80</v>
      </c>
      <c r="E42" s="15">
        <v>5350</v>
      </c>
      <c r="F42" s="29">
        <v>15</v>
      </c>
      <c r="G42" s="15"/>
      <c r="H42" s="15">
        <f>E42-G42</f>
        <v>5350</v>
      </c>
      <c r="I42" s="15">
        <v>0</v>
      </c>
      <c r="J42" s="15">
        <v>588.20000000000005</v>
      </c>
      <c r="K42" s="15">
        <f>J42-I42</f>
        <v>588.20000000000005</v>
      </c>
      <c r="L42" s="15">
        <v>0</v>
      </c>
      <c r="M42" s="15">
        <v>0</v>
      </c>
      <c r="N42" s="15">
        <f>H42*0.115+101.23</f>
        <v>716.48</v>
      </c>
      <c r="O42" s="15">
        <f>SUM(K42:N42)</f>
        <v>1304.68</v>
      </c>
      <c r="P42" s="18">
        <f>H42-O42</f>
        <v>4045.3199999999997</v>
      </c>
      <c r="Q42" s="10">
        <v>256.68</v>
      </c>
      <c r="R42" s="10">
        <v>1070</v>
      </c>
      <c r="S42" s="35">
        <f t="shared" ref="S42:S43" si="21">Q42+R42</f>
        <v>1326.68</v>
      </c>
    </row>
    <row r="43" spans="2:19" x14ac:dyDescent="0.25">
      <c r="B43" t="s">
        <v>152</v>
      </c>
      <c r="C43" t="s">
        <v>92</v>
      </c>
      <c r="D43" t="s">
        <v>80</v>
      </c>
      <c r="E43" s="15">
        <v>5350</v>
      </c>
      <c r="F43" s="29">
        <v>15</v>
      </c>
      <c r="G43" s="15"/>
      <c r="H43" s="15">
        <f>E43-G43</f>
        <v>5350</v>
      </c>
      <c r="I43" s="15">
        <v>0</v>
      </c>
      <c r="J43" s="15">
        <v>588.20000000000005</v>
      </c>
      <c r="K43" s="15">
        <v>588.20000000000005</v>
      </c>
      <c r="L43" s="15">
        <v>0</v>
      </c>
      <c r="M43" s="15">
        <v>0</v>
      </c>
      <c r="N43" s="15">
        <f>H43*0.115</f>
        <v>615.25</v>
      </c>
      <c r="O43" s="15">
        <f>SUM(K43:N43)</f>
        <v>1203.45</v>
      </c>
      <c r="P43" s="18">
        <f>H43-O43</f>
        <v>4146.55</v>
      </c>
      <c r="Q43" s="10">
        <v>256.68</v>
      </c>
      <c r="R43" s="10">
        <v>1070</v>
      </c>
      <c r="S43" s="35">
        <f t="shared" si="21"/>
        <v>1326.68</v>
      </c>
    </row>
    <row r="44" spans="2:19" x14ac:dyDescent="0.25">
      <c r="B44" s="2" t="s">
        <v>26</v>
      </c>
      <c r="C44" s="30"/>
      <c r="D44" s="30"/>
      <c r="E44" s="34">
        <f>E42+E43</f>
        <v>10700</v>
      </c>
      <c r="F44" s="34"/>
      <c r="G44" s="34">
        <f>G42+G43</f>
        <v>0</v>
      </c>
      <c r="H44" s="34">
        <f t="shared" ref="H44:S44" si="22">H42+H43</f>
        <v>10700</v>
      </c>
      <c r="I44" s="34">
        <f t="shared" si="22"/>
        <v>0</v>
      </c>
      <c r="J44" s="34">
        <f t="shared" si="22"/>
        <v>1176.4000000000001</v>
      </c>
      <c r="K44" s="34">
        <f t="shared" si="22"/>
        <v>1176.4000000000001</v>
      </c>
      <c r="L44" s="34">
        <f t="shared" si="22"/>
        <v>0</v>
      </c>
      <c r="M44" s="34">
        <f t="shared" si="22"/>
        <v>0</v>
      </c>
      <c r="N44" s="34">
        <f t="shared" si="22"/>
        <v>1331.73</v>
      </c>
      <c r="O44" s="34">
        <f t="shared" si="22"/>
        <v>2508.13</v>
      </c>
      <c r="P44" s="34">
        <f t="shared" si="22"/>
        <v>8191.87</v>
      </c>
      <c r="Q44" s="34">
        <f t="shared" si="22"/>
        <v>513.36</v>
      </c>
      <c r="R44" s="34">
        <f t="shared" si="22"/>
        <v>2140</v>
      </c>
      <c r="S44" s="34">
        <f t="shared" si="22"/>
        <v>2653.36</v>
      </c>
    </row>
    <row r="45" spans="2:19" x14ac:dyDescent="0.25">
      <c r="B45" s="2"/>
      <c r="E45" s="15"/>
      <c r="F45" s="15"/>
      <c r="G45" s="15"/>
      <c r="H45" s="16"/>
      <c r="I45" s="16"/>
      <c r="J45" s="16"/>
      <c r="K45" s="16"/>
      <c r="L45" s="16"/>
      <c r="M45" s="16"/>
      <c r="N45" s="16"/>
      <c r="O45" s="16"/>
      <c r="P45" s="16"/>
      <c r="Q45" s="8"/>
      <c r="R45" s="8"/>
      <c r="S45" s="8"/>
    </row>
    <row r="46" spans="2:19" x14ac:dyDescent="0.25">
      <c r="B46" s="2" t="s">
        <v>161</v>
      </c>
      <c r="C46" s="2" t="s">
        <v>162</v>
      </c>
      <c r="E46" s="15"/>
      <c r="F46" s="15"/>
      <c r="G46" s="15"/>
      <c r="H46" s="16"/>
      <c r="I46" s="16"/>
      <c r="J46" s="16"/>
      <c r="K46" s="16"/>
      <c r="L46" s="16"/>
      <c r="M46" s="16"/>
      <c r="N46" s="16"/>
      <c r="O46" s="16"/>
      <c r="P46" s="16"/>
      <c r="Q46" s="8"/>
      <c r="R46" s="8"/>
      <c r="S46" s="8"/>
    </row>
    <row r="47" spans="2:19" x14ac:dyDescent="0.25">
      <c r="B47" t="s">
        <v>163</v>
      </c>
      <c r="C47" s="11" t="s">
        <v>42</v>
      </c>
      <c r="D47" t="s">
        <v>2</v>
      </c>
      <c r="E47" s="15">
        <v>10000</v>
      </c>
      <c r="F47" s="29">
        <v>15</v>
      </c>
      <c r="G47" s="15"/>
      <c r="H47" s="15">
        <f>E47-G47</f>
        <v>10000</v>
      </c>
      <c r="I47" s="15">
        <v>0</v>
      </c>
      <c r="J47" s="15">
        <v>1581.44</v>
      </c>
      <c r="K47" s="15">
        <f>J47-I47</f>
        <v>1581.44</v>
      </c>
      <c r="L47" s="15">
        <v>0</v>
      </c>
      <c r="M47" s="15">
        <v>0</v>
      </c>
      <c r="N47" s="15">
        <f>E47*0.115+175</f>
        <v>1325</v>
      </c>
      <c r="O47" s="15">
        <f>SUM(K47:N47)</f>
        <v>2906.44</v>
      </c>
      <c r="P47" s="18">
        <f>H47-O47</f>
        <v>7093.5599999999995</v>
      </c>
      <c r="Q47" s="10">
        <v>285.52999999999997</v>
      </c>
      <c r="R47" s="10">
        <v>2000</v>
      </c>
      <c r="S47" s="35">
        <f>Q47+R47</f>
        <v>2285.5299999999997</v>
      </c>
    </row>
    <row r="48" spans="2:19" x14ac:dyDescent="0.25">
      <c r="B48" s="2" t="s">
        <v>26</v>
      </c>
      <c r="E48" s="34">
        <f>E47</f>
        <v>10000</v>
      </c>
      <c r="F48" s="34"/>
      <c r="G48" s="34">
        <f>G47</f>
        <v>0</v>
      </c>
      <c r="H48" s="34">
        <f t="shared" ref="H48:S48" si="23">H47</f>
        <v>10000</v>
      </c>
      <c r="I48" s="34">
        <f t="shared" si="23"/>
        <v>0</v>
      </c>
      <c r="J48" s="34">
        <f t="shared" si="23"/>
        <v>1581.44</v>
      </c>
      <c r="K48" s="34">
        <f t="shared" si="23"/>
        <v>1581.44</v>
      </c>
      <c r="L48" s="34">
        <f t="shared" si="23"/>
        <v>0</v>
      </c>
      <c r="M48" s="34">
        <f t="shared" si="23"/>
        <v>0</v>
      </c>
      <c r="N48" s="34">
        <f t="shared" si="23"/>
        <v>1325</v>
      </c>
      <c r="O48" s="34">
        <f t="shared" si="23"/>
        <v>2906.44</v>
      </c>
      <c r="P48" s="34">
        <f t="shared" si="23"/>
        <v>7093.5599999999995</v>
      </c>
      <c r="Q48" s="34">
        <f t="shared" si="23"/>
        <v>285.52999999999997</v>
      </c>
      <c r="R48" s="34">
        <f t="shared" si="23"/>
        <v>2000</v>
      </c>
      <c r="S48" s="34">
        <f t="shared" si="23"/>
        <v>2285.5299999999997</v>
      </c>
    </row>
    <row r="49" spans="2:19" x14ac:dyDescent="0.25">
      <c r="B49" s="2"/>
      <c r="E49" s="15"/>
      <c r="F49" s="15"/>
      <c r="G49" s="15"/>
      <c r="H49" s="16"/>
      <c r="I49" s="16"/>
      <c r="J49" s="16"/>
      <c r="K49" s="16"/>
      <c r="L49" s="16"/>
      <c r="M49" s="16"/>
      <c r="N49" s="16"/>
      <c r="O49" s="16"/>
      <c r="P49" s="16"/>
      <c r="Q49" s="8"/>
      <c r="R49" s="8"/>
      <c r="S49" s="8"/>
    </row>
    <row r="51" spans="2:19" ht="18.75" x14ac:dyDescent="0.3">
      <c r="D51" s="4" t="s">
        <v>105</v>
      </c>
      <c r="E51" s="17">
        <f>E8+E19+E25+E39+E44+E48</f>
        <v>158954.95000000001</v>
      </c>
      <c r="F51" s="17"/>
      <c r="G51" s="17">
        <f>G8+G19+G25+G39+G44+G48</f>
        <v>0</v>
      </c>
      <c r="H51" s="17">
        <f t="shared" ref="H51:S51" si="24">H8+H19+H25+H39+H44+H48</f>
        <v>158954.95000000001</v>
      </c>
      <c r="I51" s="17">
        <f t="shared" si="24"/>
        <v>274.08999999999997</v>
      </c>
      <c r="J51" s="17">
        <f t="shared" si="24"/>
        <v>19499.7</v>
      </c>
      <c r="K51" s="17">
        <f t="shared" si="24"/>
        <v>19225.61</v>
      </c>
      <c r="L51" s="17">
        <f t="shared" si="24"/>
        <v>0</v>
      </c>
      <c r="M51" s="17">
        <f t="shared" si="24"/>
        <v>0</v>
      </c>
      <c r="N51" s="17">
        <f t="shared" si="24"/>
        <v>20663.04925</v>
      </c>
      <c r="O51" s="17">
        <f t="shared" si="24"/>
        <v>39888.659250000004</v>
      </c>
      <c r="P51" s="17">
        <f t="shared" si="24"/>
        <v>119066.29074999999</v>
      </c>
      <c r="Q51" s="17">
        <f t="shared" si="24"/>
        <v>7020.3799999999992</v>
      </c>
      <c r="R51" s="17">
        <f t="shared" si="24"/>
        <v>31790.989999999998</v>
      </c>
      <c r="S51" s="17">
        <f t="shared" si="24"/>
        <v>38811.370000000003</v>
      </c>
    </row>
    <row r="55" spans="2:19" ht="15.75" thickBot="1" x14ac:dyDescent="0.3">
      <c r="E55" s="375"/>
      <c r="F55" s="375"/>
      <c r="N55" s="375"/>
      <c r="O55" s="375"/>
    </row>
    <row r="57" spans="2:19" x14ac:dyDescent="0.25">
      <c r="E57" s="377" t="s">
        <v>146</v>
      </c>
      <c r="F57" s="377"/>
      <c r="N57" s="377" t="s">
        <v>157</v>
      </c>
      <c r="O57" s="377"/>
    </row>
  </sheetData>
  <mergeCells count="6">
    <mergeCell ref="C2:D2"/>
    <mergeCell ref="E3:S3"/>
    <mergeCell ref="E55:F55"/>
    <mergeCell ref="N55:O55"/>
    <mergeCell ref="E57:F57"/>
    <mergeCell ref="N57:O57"/>
  </mergeCells>
  <pageMargins left="0.70866141732283472" right="0.70866141732283472" top="0.74803149606299213" bottom="0.74803149606299213" header="0.31496062992125984" footer="0.31496062992125984"/>
  <pageSetup paperSize="300" scale="57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S58"/>
  <sheetViews>
    <sheetView topLeftCell="B28" workbookViewId="0">
      <selection activeCell="P44" sqref="P44"/>
    </sheetView>
  </sheetViews>
  <sheetFormatPr baseColWidth="10" defaultRowHeight="15" x14ac:dyDescent="0.25"/>
  <cols>
    <col min="2" max="2" width="16.5703125" customWidth="1"/>
    <col min="3" max="3" width="34.140625" customWidth="1"/>
    <col min="4" max="4" width="29.85546875" customWidth="1"/>
    <col min="5" max="5" width="18.42578125" customWidth="1"/>
    <col min="8" max="8" width="21" customWidth="1"/>
    <col min="9" max="10" width="0" hidden="1" customWidth="1"/>
    <col min="11" max="11" width="13.42578125" customWidth="1"/>
    <col min="12" max="13" width="0" hidden="1" customWidth="1"/>
    <col min="14" max="14" width="14" customWidth="1"/>
    <col min="15" max="15" width="18.5703125" customWidth="1"/>
    <col min="16" max="16" width="16.85546875" customWidth="1"/>
    <col min="17" max="17" width="14" customWidth="1"/>
    <col min="18" max="18" width="15.7109375" customWidth="1"/>
    <col min="19" max="19" width="17" customWidth="1"/>
  </cols>
  <sheetData>
    <row r="3" spans="2:19" ht="18.75" x14ac:dyDescent="0.25">
      <c r="C3" s="372" t="s">
        <v>166</v>
      </c>
      <c r="D3" s="372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2:19" ht="15.75" thickBot="1" x14ac:dyDescent="0.3">
      <c r="E4" s="367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9"/>
    </row>
    <row r="5" spans="2:19" ht="47.25" thickTop="1" thickBot="1" x14ac:dyDescent="0.3">
      <c r="B5" s="31" t="s">
        <v>9</v>
      </c>
      <c r="C5" s="32" t="s">
        <v>10</v>
      </c>
      <c r="D5" s="32" t="s">
        <v>0</v>
      </c>
      <c r="E5" s="39" t="s">
        <v>11</v>
      </c>
      <c r="F5" s="39" t="s">
        <v>150</v>
      </c>
      <c r="G5" s="40" t="s">
        <v>159</v>
      </c>
      <c r="H5" s="39" t="s">
        <v>12</v>
      </c>
      <c r="I5" s="39" t="s">
        <v>107</v>
      </c>
      <c r="J5" s="39" t="s">
        <v>143</v>
      </c>
      <c r="K5" s="39" t="s">
        <v>13</v>
      </c>
      <c r="L5" s="39" t="s">
        <v>15</v>
      </c>
      <c r="M5" s="39" t="s">
        <v>106</v>
      </c>
      <c r="N5" s="39" t="s">
        <v>16</v>
      </c>
      <c r="O5" s="39" t="s">
        <v>17</v>
      </c>
      <c r="P5" s="39" t="s">
        <v>72</v>
      </c>
      <c r="Q5" s="32" t="s">
        <v>8</v>
      </c>
      <c r="R5" s="32" t="s">
        <v>18</v>
      </c>
      <c r="S5" s="41" t="s">
        <v>73</v>
      </c>
    </row>
    <row r="6" spans="2:19" ht="15.75" thickTop="1" x14ac:dyDescent="0.25">
      <c r="B6" s="2" t="s">
        <v>19</v>
      </c>
      <c r="C6" s="2" t="s">
        <v>20</v>
      </c>
      <c r="D6" s="2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2:19" x14ac:dyDescent="0.25">
      <c r="B7" t="s">
        <v>21</v>
      </c>
      <c r="C7" s="11" t="s">
        <v>22</v>
      </c>
      <c r="D7" t="s">
        <v>25</v>
      </c>
      <c r="E7" s="15">
        <v>16954.95</v>
      </c>
      <c r="F7" s="29">
        <v>15</v>
      </c>
      <c r="G7" s="15"/>
      <c r="H7" s="15">
        <f>E7-G7</f>
        <v>16954.95</v>
      </c>
      <c r="I7" s="15">
        <v>0</v>
      </c>
      <c r="J7" s="15">
        <v>3246.93</v>
      </c>
      <c r="K7" s="15">
        <f>J7-I7</f>
        <v>3246.93</v>
      </c>
      <c r="L7" s="15">
        <v>0</v>
      </c>
      <c r="M7" s="15">
        <v>0</v>
      </c>
      <c r="N7" s="15">
        <f>E7*0.115+296.71</f>
        <v>2246.52925</v>
      </c>
      <c r="O7" s="15">
        <f>SUM(K7:N7)</f>
        <v>5493.4592499999999</v>
      </c>
      <c r="P7" s="18">
        <f>H7-O7</f>
        <v>11461.490750000001</v>
      </c>
      <c r="Q7" s="10">
        <v>328.67</v>
      </c>
      <c r="R7" s="10">
        <v>3390.99</v>
      </c>
      <c r="S7" s="35">
        <f>SUM(Q7:R7)</f>
        <v>3719.66</v>
      </c>
    </row>
    <row r="8" spans="2:19" x14ac:dyDescent="0.25">
      <c r="B8" t="s">
        <v>23</v>
      </c>
      <c r="C8" s="11" t="s">
        <v>24</v>
      </c>
      <c r="D8" t="s">
        <v>3</v>
      </c>
      <c r="E8" s="15">
        <v>4850</v>
      </c>
      <c r="F8" s="29">
        <v>15</v>
      </c>
      <c r="G8" s="15"/>
      <c r="H8" s="15">
        <f t="shared" ref="H8" si="0">E8-G8</f>
        <v>4850</v>
      </c>
      <c r="I8" s="15">
        <v>0</v>
      </c>
      <c r="J8" s="15">
        <v>491.69</v>
      </c>
      <c r="K8" s="15">
        <f t="shared" ref="K8" si="1">J8-I8</f>
        <v>491.69</v>
      </c>
      <c r="L8" s="15">
        <v>0</v>
      </c>
      <c r="M8" s="15">
        <v>0</v>
      </c>
      <c r="N8" s="15">
        <f>E8*0.115+84.88</f>
        <v>642.63</v>
      </c>
      <c r="O8" s="15">
        <f t="shared" ref="O8" si="2">SUM(K8:N8)</f>
        <v>1134.32</v>
      </c>
      <c r="P8" s="18">
        <f>H8-O8</f>
        <v>3715.6800000000003</v>
      </c>
      <c r="Q8" s="10">
        <v>253.58</v>
      </c>
      <c r="R8" s="10">
        <v>970</v>
      </c>
      <c r="S8" s="35">
        <f t="shared" ref="S8" si="3">SUM(Q8:R8)</f>
        <v>1223.58</v>
      </c>
    </row>
    <row r="9" spans="2:19" x14ac:dyDescent="0.25">
      <c r="B9" s="7" t="s">
        <v>26</v>
      </c>
      <c r="C9" s="30"/>
      <c r="D9" s="30"/>
      <c r="E9" s="34">
        <f>SUM(E7:E8)</f>
        <v>21804.95</v>
      </c>
      <c r="F9" s="34"/>
      <c r="G9" s="34">
        <f t="shared" ref="G9:S9" si="4">SUM(G7:G8)</f>
        <v>0</v>
      </c>
      <c r="H9" s="34">
        <f t="shared" si="4"/>
        <v>21804.95</v>
      </c>
      <c r="I9" s="34">
        <f t="shared" si="4"/>
        <v>0</v>
      </c>
      <c r="J9" s="34">
        <f t="shared" si="4"/>
        <v>3738.62</v>
      </c>
      <c r="K9" s="34">
        <f t="shared" si="4"/>
        <v>3738.62</v>
      </c>
      <c r="L9" s="34">
        <f t="shared" si="4"/>
        <v>0</v>
      </c>
      <c r="M9" s="34">
        <f t="shared" si="4"/>
        <v>0</v>
      </c>
      <c r="N9" s="34">
        <f t="shared" si="4"/>
        <v>2889.1592500000002</v>
      </c>
      <c r="O9" s="34">
        <f t="shared" si="4"/>
        <v>6627.7792499999996</v>
      </c>
      <c r="P9" s="34">
        <f t="shared" si="4"/>
        <v>15177.170750000001</v>
      </c>
      <c r="Q9" s="34">
        <f t="shared" si="4"/>
        <v>582.25</v>
      </c>
      <c r="R9" s="34">
        <f t="shared" si="4"/>
        <v>4360.99</v>
      </c>
      <c r="S9" s="34">
        <f t="shared" si="4"/>
        <v>4943.24</v>
      </c>
    </row>
    <row r="10" spans="2:19" x14ac:dyDescent="0.25"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2:19" x14ac:dyDescent="0.25">
      <c r="B11" s="2" t="s">
        <v>27</v>
      </c>
      <c r="C11" s="2" t="s">
        <v>28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2:19" x14ac:dyDescent="0.25">
      <c r="B12" t="s">
        <v>32</v>
      </c>
      <c r="C12" s="11" t="s">
        <v>37</v>
      </c>
      <c r="D12" t="s">
        <v>1</v>
      </c>
      <c r="E12" s="15">
        <v>10000</v>
      </c>
      <c r="F12" s="29">
        <v>15</v>
      </c>
      <c r="G12" s="15"/>
      <c r="H12" s="15">
        <f>E12-G12</f>
        <v>10000</v>
      </c>
      <c r="I12" s="15">
        <v>0</v>
      </c>
      <c r="J12" s="15">
        <v>1581.44</v>
      </c>
      <c r="K12" s="15">
        <f>J12-I12</f>
        <v>1581.44</v>
      </c>
      <c r="L12" s="15">
        <v>0</v>
      </c>
      <c r="M12" s="15">
        <v>0</v>
      </c>
      <c r="N12" s="15">
        <f>E12*0.115+175</f>
        <v>1325</v>
      </c>
      <c r="O12" s="15">
        <f t="shared" ref="O12:O17" si="5">SUM(K12:N12)</f>
        <v>2906.44</v>
      </c>
      <c r="P12" s="18">
        <f t="shared" ref="P12:P19" si="6">H12-O12</f>
        <v>7093.5599999999995</v>
      </c>
      <c r="Q12" s="10">
        <v>285.52999999999997</v>
      </c>
      <c r="R12" s="10">
        <v>2000</v>
      </c>
      <c r="S12" s="35">
        <f>Q12+R12</f>
        <v>2285.5299999999997</v>
      </c>
    </row>
    <row r="13" spans="2:19" x14ac:dyDescent="0.25">
      <c r="B13" t="s">
        <v>33</v>
      </c>
      <c r="C13" s="11" t="s">
        <v>38</v>
      </c>
      <c r="D13" t="s">
        <v>74</v>
      </c>
      <c r="E13" s="15">
        <v>5350</v>
      </c>
      <c r="F13" s="29">
        <v>15</v>
      </c>
      <c r="G13" s="19"/>
      <c r="H13" s="15">
        <f t="shared" ref="H13:H19" si="7">E13-G13</f>
        <v>5350</v>
      </c>
      <c r="I13" s="15">
        <v>0</v>
      </c>
      <c r="J13" s="15">
        <v>588.20000000000005</v>
      </c>
      <c r="K13" s="15">
        <f t="shared" ref="K13:K19" si="8">J13-I13</f>
        <v>588.20000000000005</v>
      </c>
      <c r="L13" s="15">
        <v>0</v>
      </c>
      <c r="M13" s="15">
        <v>0</v>
      </c>
      <c r="N13" s="15">
        <f>E13*0.115+93.74</f>
        <v>708.99</v>
      </c>
      <c r="O13" s="15">
        <f t="shared" si="5"/>
        <v>1297.19</v>
      </c>
      <c r="P13" s="18">
        <f t="shared" si="6"/>
        <v>4052.81</v>
      </c>
      <c r="Q13" s="10">
        <v>256.68</v>
      </c>
      <c r="R13" s="10">
        <v>1070</v>
      </c>
      <c r="S13" s="35">
        <f>Q13+R13</f>
        <v>1326.68</v>
      </c>
    </row>
    <row r="14" spans="2:19" x14ac:dyDescent="0.25">
      <c r="B14" t="s">
        <v>34</v>
      </c>
      <c r="C14" t="s">
        <v>141</v>
      </c>
      <c r="D14" t="s">
        <v>75</v>
      </c>
      <c r="E14" s="21">
        <v>5350</v>
      </c>
      <c r="F14" s="29">
        <v>15</v>
      </c>
      <c r="G14" s="3"/>
      <c r="H14" s="15">
        <f t="shared" si="7"/>
        <v>5350</v>
      </c>
      <c r="I14" s="3">
        <v>0</v>
      </c>
      <c r="J14" s="3">
        <v>588.20000000000005</v>
      </c>
      <c r="K14" s="15">
        <f t="shared" si="8"/>
        <v>588.20000000000005</v>
      </c>
      <c r="L14" s="3">
        <v>0</v>
      </c>
      <c r="M14" s="3">
        <v>0</v>
      </c>
      <c r="N14" s="15">
        <v>19.420000000000002</v>
      </c>
      <c r="O14" s="15">
        <f t="shared" si="5"/>
        <v>607.62</v>
      </c>
      <c r="P14" s="18">
        <f t="shared" si="6"/>
        <v>4742.38</v>
      </c>
      <c r="Q14" s="27">
        <v>256.68</v>
      </c>
      <c r="R14" s="10">
        <v>1070</v>
      </c>
      <c r="S14" s="35">
        <f>Q14+R14</f>
        <v>1326.68</v>
      </c>
    </row>
    <row r="15" spans="2:19" x14ac:dyDescent="0.25">
      <c r="B15" t="s">
        <v>35</v>
      </c>
      <c r="C15" t="s">
        <v>111</v>
      </c>
      <c r="D15" t="s">
        <v>77</v>
      </c>
      <c r="E15" s="15">
        <v>6000</v>
      </c>
      <c r="F15" s="29">
        <v>15</v>
      </c>
      <c r="G15" s="15"/>
      <c r="H15" s="15">
        <f t="shared" si="7"/>
        <v>6000</v>
      </c>
      <c r="I15" s="15">
        <v>0</v>
      </c>
      <c r="J15" s="15">
        <v>727.04</v>
      </c>
      <c r="K15" s="15">
        <f t="shared" si="8"/>
        <v>727.04</v>
      </c>
      <c r="L15" s="15">
        <v>0</v>
      </c>
      <c r="M15" s="15">
        <v>0</v>
      </c>
      <c r="N15" s="15">
        <f t="shared" ref="N15:N19" si="9">E15*0.115</f>
        <v>690</v>
      </c>
      <c r="O15" s="15">
        <f t="shared" si="5"/>
        <v>1417.04</v>
      </c>
      <c r="P15" s="18">
        <f t="shared" si="6"/>
        <v>4582.96</v>
      </c>
      <c r="Q15" s="10">
        <v>260.72000000000003</v>
      </c>
      <c r="R15" s="10">
        <v>1200</v>
      </c>
      <c r="S15" s="35">
        <f>Q15+R15</f>
        <v>1460.72</v>
      </c>
    </row>
    <row r="16" spans="2:19" x14ac:dyDescent="0.25">
      <c r="B16" t="s">
        <v>36</v>
      </c>
      <c r="C16" t="s">
        <v>86</v>
      </c>
      <c r="D16" t="s">
        <v>39</v>
      </c>
      <c r="E16" s="15">
        <v>4500</v>
      </c>
      <c r="F16" s="29">
        <v>15</v>
      </c>
      <c r="G16" s="15"/>
      <c r="H16" s="15">
        <f t="shared" si="7"/>
        <v>4500</v>
      </c>
      <c r="I16" s="15">
        <v>0</v>
      </c>
      <c r="J16" s="15">
        <v>428.97</v>
      </c>
      <c r="K16" s="15">
        <f t="shared" si="8"/>
        <v>428.97</v>
      </c>
      <c r="L16" s="15">
        <v>0</v>
      </c>
      <c r="M16" s="15">
        <v>0</v>
      </c>
      <c r="N16" s="15">
        <f>E16*0.115+87.5</f>
        <v>605</v>
      </c>
      <c r="O16" s="15">
        <f t="shared" si="5"/>
        <v>1033.97</v>
      </c>
      <c r="P16" s="18">
        <f t="shared" si="6"/>
        <v>3466.0299999999997</v>
      </c>
      <c r="Q16" s="10">
        <v>251.41</v>
      </c>
      <c r="R16" s="10">
        <v>900</v>
      </c>
      <c r="S16" s="35">
        <f>Q16+R16</f>
        <v>1151.4100000000001</v>
      </c>
    </row>
    <row r="17" spans="2:19" x14ac:dyDescent="0.25">
      <c r="B17" t="s">
        <v>115</v>
      </c>
      <c r="C17" t="s">
        <v>87</v>
      </c>
      <c r="D17" t="s">
        <v>39</v>
      </c>
      <c r="E17" s="15">
        <v>4500</v>
      </c>
      <c r="F17" s="29">
        <v>15</v>
      </c>
      <c r="G17" s="15"/>
      <c r="H17" s="15">
        <f t="shared" si="7"/>
        <v>4500</v>
      </c>
      <c r="I17" s="15">
        <v>0</v>
      </c>
      <c r="J17" s="15">
        <v>428.97</v>
      </c>
      <c r="K17" s="15">
        <f t="shared" si="8"/>
        <v>428.97</v>
      </c>
      <c r="L17" s="15">
        <v>0</v>
      </c>
      <c r="M17" s="15">
        <v>0</v>
      </c>
      <c r="N17" s="15">
        <f>E17*0.115+78.75</f>
        <v>596.25</v>
      </c>
      <c r="O17" s="15">
        <f t="shared" si="5"/>
        <v>1025.22</v>
      </c>
      <c r="P17" s="18">
        <f t="shared" si="6"/>
        <v>3474.7799999999997</v>
      </c>
      <c r="Q17" s="10">
        <v>251.41</v>
      </c>
      <c r="R17" s="10">
        <v>900</v>
      </c>
      <c r="S17" s="35">
        <f t="shared" ref="S17:S19" si="10">Q17+R17</f>
        <v>1151.4100000000001</v>
      </c>
    </row>
    <row r="18" spans="2:19" x14ac:dyDescent="0.25">
      <c r="B18" t="s">
        <v>116</v>
      </c>
      <c r="C18" t="s">
        <v>89</v>
      </c>
      <c r="D18" t="s">
        <v>4</v>
      </c>
      <c r="E18" s="15">
        <v>2700</v>
      </c>
      <c r="F18" s="29">
        <v>15</v>
      </c>
      <c r="G18" s="15"/>
      <c r="H18" s="15">
        <f t="shared" si="7"/>
        <v>2700</v>
      </c>
      <c r="I18" s="15">
        <v>147.32</v>
      </c>
      <c r="J18" s="15">
        <v>188.33</v>
      </c>
      <c r="K18" s="15">
        <f t="shared" si="8"/>
        <v>41.010000000000019</v>
      </c>
      <c r="L18" s="15">
        <v>0</v>
      </c>
      <c r="M18" s="15">
        <v>0</v>
      </c>
      <c r="N18" s="15">
        <f>E18*0.115+47.25</f>
        <v>357.75</v>
      </c>
      <c r="O18" s="15">
        <f>SUM(K18:N18)</f>
        <v>398.76</v>
      </c>
      <c r="P18" s="18">
        <f t="shared" si="6"/>
        <v>2301.2399999999998</v>
      </c>
      <c r="Q18" s="10">
        <v>240.25</v>
      </c>
      <c r="R18" s="10">
        <v>540</v>
      </c>
      <c r="S18" s="35">
        <f t="shared" si="10"/>
        <v>780.25</v>
      </c>
    </row>
    <row r="19" spans="2:19" x14ac:dyDescent="0.25">
      <c r="B19" t="s">
        <v>117</v>
      </c>
      <c r="C19" t="s">
        <v>88</v>
      </c>
      <c r="D19" t="s">
        <v>40</v>
      </c>
      <c r="E19" s="15">
        <v>3150</v>
      </c>
      <c r="F19" s="29">
        <v>15</v>
      </c>
      <c r="G19" s="15"/>
      <c r="H19" s="15">
        <f t="shared" si="7"/>
        <v>3150</v>
      </c>
      <c r="I19" s="15">
        <v>126.77</v>
      </c>
      <c r="J19" s="15">
        <v>237.29</v>
      </c>
      <c r="K19" s="15">
        <f t="shared" si="8"/>
        <v>110.52</v>
      </c>
      <c r="L19" s="15">
        <v>0</v>
      </c>
      <c r="M19" s="15">
        <v>0</v>
      </c>
      <c r="N19" s="15">
        <f t="shared" si="9"/>
        <v>362.25</v>
      </c>
      <c r="O19" s="15">
        <f>SUM(K19:N19)</f>
        <v>472.77</v>
      </c>
      <c r="P19" s="18">
        <f t="shared" si="6"/>
        <v>2677.23</v>
      </c>
      <c r="Q19" s="10">
        <v>243.04</v>
      </c>
      <c r="R19" s="10">
        <v>630</v>
      </c>
      <c r="S19" s="35">
        <f t="shared" si="10"/>
        <v>873.04</v>
      </c>
    </row>
    <row r="20" spans="2:19" x14ac:dyDescent="0.25">
      <c r="B20" s="2" t="s">
        <v>26</v>
      </c>
      <c r="C20" s="30"/>
      <c r="D20" s="30"/>
      <c r="E20" s="34">
        <f t="shared" ref="E20:S20" si="11">SUM(E12:E19)</f>
        <v>41550</v>
      </c>
      <c r="F20" s="34"/>
      <c r="G20" s="34">
        <f t="shared" si="11"/>
        <v>0</v>
      </c>
      <c r="H20" s="34">
        <f t="shared" si="11"/>
        <v>41550</v>
      </c>
      <c r="I20" s="34">
        <f t="shared" si="11"/>
        <v>274.08999999999997</v>
      </c>
      <c r="J20" s="34">
        <f t="shared" si="11"/>
        <v>4768.4400000000005</v>
      </c>
      <c r="K20" s="34">
        <f t="shared" si="11"/>
        <v>4494.3500000000013</v>
      </c>
      <c r="L20" s="34">
        <f t="shared" si="11"/>
        <v>0</v>
      </c>
      <c r="M20" s="34">
        <f t="shared" si="11"/>
        <v>0</v>
      </c>
      <c r="N20" s="34">
        <f t="shared" si="11"/>
        <v>4664.66</v>
      </c>
      <c r="O20" s="34">
        <f t="shared" si="11"/>
        <v>9159.01</v>
      </c>
      <c r="P20" s="34">
        <f t="shared" si="11"/>
        <v>32390.989999999994</v>
      </c>
      <c r="Q20" s="34">
        <f t="shared" si="11"/>
        <v>2045.7200000000003</v>
      </c>
      <c r="R20" s="34">
        <f t="shared" si="11"/>
        <v>8310</v>
      </c>
      <c r="S20" s="34">
        <f t="shared" si="11"/>
        <v>10355.720000000001</v>
      </c>
    </row>
    <row r="21" spans="2:19" x14ac:dyDescent="0.25">
      <c r="B21" s="2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2:19" x14ac:dyDescent="0.25">
      <c r="B22" s="2" t="s">
        <v>50</v>
      </c>
      <c r="C22" s="2" t="s">
        <v>160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2:19" x14ac:dyDescent="0.25">
      <c r="B23" t="s">
        <v>119</v>
      </c>
      <c r="C23" t="s">
        <v>91</v>
      </c>
      <c r="D23" t="s">
        <v>76</v>
      </c>
      <c r="E23" s="15">
        <v>5350</v>
      </c>
      <c r="F23" s="29">
        <v>15</v>
      </c>
      <c r="G23" s="15"/>
      <c r="H23" s="15">
        <f>E23-G23</f>
        <v>5350</v>
      </c>
      <c r="I23" s="15">
        <v>0</v>
      </c>
      <c r="J23" s="15">
        <v>588.20000000000005</v>
      </c>
      <c r="K23" s="15">
        <f>J23-I23</f>
        <v>588.20000000000005</v>
      </c>
      <c r="L23" s="15">
        <v>0</v>
      </c>
      <c r="M23" s="15">
        <v>0</v>
      </c>
      <c r="N23" s="15">
        <f>E23*0.115+93.66</f>
        <v>708.91</v>
      </c>
      <c r="O23" s="15">
        <f>SUM(K23:N23)</f>
        <v>1297.1100000000001</v>
      </c>
      <c r="P23" s="18">
        <f>H23-O23</f>
        <v>4052.89</v>
      </c>
      <c r="Q23" s="10">
        <v>256.68</v>
      </c>
      <c r="R23" s="10">
        <v>1070</v>
      </c>
      <c r="S23" s="35">
        <f>Q23+R23</f>
        <v>1326.68</v>
      </c>
    </row>
    <row r="24" spans="2:19" x14ac:dyDescent="0.25">
      <c r="B24" t="s">
        <v>120</v>
      </c>
      <c r="C24" t="s">
        <v>93</v>
      </c>
      <c r="D24" t="s">
        <v>78</v>
      </c>
      <c r="E24" s="15">
        <v>5350</v>
      </c>
      <c r="F24" s="29">
        <v>15</v>
      </c>
      <c r="G24" s="15"/>
      <c r="H24" s="15">
        <f>E24-G24</f>
        <v>5350</v>
      </c>
      <c r="I24" s="15">
        <v>0</v>
      </c>
      <c r="J24" s="15">
        <v>588.20000000000005</v>
      </c>
      <c r="K24" s="15">
        <f>J24-I24</f>
        <v>588.20000000000005</v>
      </c>
      <c r="L24" s="15">
        <v>0</v>
      </c>
      <c r="M24" s="15">
        <v>0</v>
      </c>
      <c r="N24" s="15">
        <f>E24*0.115+93.63</f>
        <v>708.88</v>
      </c>
      <c r="O24" s="15">
        <f>SUM(K24:N24)</f>
        <v>1297.08</v>
      </c>
      <c r="P24" s="18">
        <f>H24-O24</f>
        <v>4052.92</v>
      </c>
      <c r="Q24" s="10">
        <v>256.68</v>
      </c>
      <c r="R24" s="10">
        <v>1070</v>
      </c>
      <c r="S24" s="35">
        <f>Q24+R24</f>
        <v>1326.68</v>
      </c>
    </row>
    <row r="25" spans="2:19" x14ac:dyDescent="0.25">
      <c r="B25" t="s">
        <v>121</v>
      </c>
      <c r="C25" t="s">
        <v>114</v>
      </c>
      <c r="D25" t="s">
        <v>79</v>
      </c>
      <c r="E25" s="15">
        <v>5350</v>
      </c>
      <c r="F25" s="29">
        <v>15</v>
      </c>
      <c r="G25" s="15"/>
      <c r="H25" s="15">
        <f>E25-G25</f>
        <v>5350</v>
      </c>
      <c r="I25" s="15">
        <v>0</v>
      </c>
      <c r="J25" s="15">
        <v>588.20000000000005</v>
      </c>
      <c r="K25" s="15">
        <f>J25-I25</f>
        <v>588.20000000000005</v>
      </c>
      <c r="L25" s="15">
        <v>0</v>
      </c>
      <c r="M25" s="15">
        <v>0</v>
      </c>
      <c r="N25" s="15">
        <f t="shared" ref="N25" si="12">E25*0.115</f>
        <v>615.25</v>
      </c>
      <c r="O25" s="15">
        <f>SUM(K25:N25)</f>
        <v>1203.45</v>
      </c>
      <c r="P25" s="18">
        <f>H25-O25</f>
        <v>4146.55</v>
      </c>
      <c r="Q25" s="10">
        <v>256.68</v>
      </c>
      <c r="R25" s="10">
        <v>1070</v>
      </c>
      <c r="S25" s="35">
        <f>Q25+R25</f>
        <v>1326.68</v>
      </c>
    </row>
    <row r="26" spans="2:19" x14ac:dyDescent="0.25">
      <c r="B26" s="2" t="s">
        <v>26</v>
      </c>
      <c r="C26" s="30"/>
      <c r="D26" s="30"/>
      <c r="E26" s="34">
        <f>SUM(E23:E25)</f>
        <v>16050</v>
      </c>
      <c r="F26" s="34"/>
      <c r="G26" s="34">
        <f>SUM(G23:G25)</f>
        <v>0</v>
      </c>
      <c r="H26" s="34">
        <f t="shared" ref="H26:S26" si="13">SUM(H23:H25)</f>
        <v>16050</v>
      </c>
      <c r="I26" s="34">
        <f t="shared" si="13"/>
        <v>0</v>
      </c>
      <c r="J26" s="34">
        <f t="shared" si="13"/>
        <v>1764.6000000000001</v>
      </c>
      <c r="K26" s="34">
        <f t="shared" si="13"/>
        <v>1764.6000000000001</v>
      </c>
      <c r="L26" s="34">
        <f t="shared" si="13"/>
        <v>0</v>
      </c>
      <c r="M26" s="34">
        <f t="shared" si="13"/>
        <v>0</v>
      </c>
      <c r="N26" s="34">
        <f t="shared" si="13"/>
        <v>2033.04</v>
      </c>
      <c r="O26" s="34">
        <f t="shared" si="13"/>
        <v>3797.6400000000003</v>
      </c>
      <c r="P26" s="34">
        <f t="shared" si="13"/>
        <v>12252.36</v>
      </c>
      <c r="Q26" s="34">
        <f t="shared" si="13"/>
        <v>770.04</v>
      </c>
      <c r="R26" s="34">
        <f t="shared" si="13"/>
        <v>3210</v>
      </c>
      <c r="S26" s="34">
        <f t="shared" si="13"/>
        <v>3980.04</v>
      </c>
    </row>
    <row r="27" spans="2:19" x14ac:dyDescent="0.25"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2:19" x14ac:dyDescent="0.25">
      <c r="B28" s="2" t="s">
        <v>63</v>
      </c>
      <c r="C28" s="2" t="s">
        <v>51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2:19" x14ac:dyDescent="0.25">
      <c r="B29" t="s">
        <v>122</v>
      </c>
      <c r="C29" t="s">
        <v>97</v>
      </c>
      <c r="D29" t="s">
        <v>80</v>
      </c>
      <c r="E29" s="15">
        <v>5350</v>
      </c>
      <c r="F29" s="29">
        <v>15</v>
      </c>
      <c r="G29" s="15"/>
      <c r="H29" s="15">
        <f>E29-G29</f>
        <v>5350</v>
      </c>
      <c r="I29" s="15">
        <v>0</v>
      </c>
      <c r="J29" s="15">
        <v>588.20000000000005</v>
      </c>
      <c r="K29" s="15">
        <f>J29-I29</f>
        <v>588.20000000000005</v>
      </c>
      <c r="L29" s="15">
        <v>0</v>
      </c>
      <c r="M29" s="15">
        <v>0</v>
      </c>
      <c r="N29" s="15">
        <f>E29*0.115+93.65</f>
        <v>708.9</v>
      </c>
      <c r="O29" s="15">
        <f>SUM(K29:N29)</f>
        <v>1297.0999999999999</v>
      </c>
      <c r="P29" s="18">
        <f t="shared" ref="P29:P39" si="14">H29-O29</f>
        <v>4052.9</v>
      </c>
      <c r="Q29" s="10">
        <v>256.68</v>
      </c>
      <c r="R29" s="10">
        <v>1070</v>
      </c>
      <c r="S29" s="35">
        <f t="shared" ref="S29:S39" si="15">Q29+R29</f>
        <v>1326.68</v>
      </c>
    </row>
    <row r="30" spans="2:19" x14ac:dyDescent="0.25">
      <c r="B30" t="s">
        <v>123</v>
      </c>
      <c r="C30" t="s">
        <v>100</v>
      </c>
      <c r="D30" t="s">
        <v>80</v>
      </c>
      <c r="E30" s="15">
        <v>5350</v>
      </c>
      <c r="F30" s="29">
        <v>15</v>
      </c>
      <c r="G30" s="15"/>
      <c r="H30" s="15">
        <f t="shared" ref="H30:H39" si="16">E30-G30</f>
        <v>5350</v>
      </c>
      <c r="I30" s="15">
        <v>0</v>
      </c>
      <c r="J30" s="15">
        <v>588.20000000000005</v>
      </c>
      <c r="K30" s="15">
        <f t="shared" ref="K30:K39" si="17">J30-I30</f>
        <v>588.20000000000005</v>
      </c>
      <c r="L30" s="15">
        <v>0</v>
      </c>
      <c r="M30" s="15">
        <v>0</v>
      </c>
      <c r="N30" s="15">
        <f>E30*0.115+93.71</f>
        <v>708.96</v>
      </c>
      <c r="O30" s="15">
        <f t="shared" ref="O30:O39" si="18">SUM(K30:N30)</f>
        <v>1297.1600000000001</v>
      </c>
      <c r="P30" s="18">
        <f t="shared" si="14"/>
        <v>4052.84</v>
      </c>
      <c r="Q30" s="10">
        <v>256.68</v>
      </c>
      <c r="R30" s="10">
        <v>1070</v>
      </c>
      <c r="S30" s="35">
        <f t="shared" si="15"/>
        <v>1326.68</v>
      </c>
    </row>
    <row r="31" spans="2:19" x14ac:dyDescent="0.25">
      <c r="B31" t="s">
        <v>124</v>
      </c>
      <c r="C31" t="s">
        <v>96</v>
      </c>
      <c r="D31" t="s">
        <v>78</v>
      </c>
      <c r="E31" s="15">
        <v>5350</v>
      </c>
      <c r="F31" s="29">
        <v>15</v>
      </c>
      <c r="G31" s="15"/>
      <c r="H31" s="15">
        <f t="shared" si="16"/>
        <v>5350</v>
      </c>
      <c r="I31" s="15">
        <v>0</v>
      </c>
      <c r="J31" s="15">
        <v>588.20000000000005</v>
      </c>
      <c r="K31" s="15">
        <f t="shared" si="17"/>
        <v>588.20000000000005</v>
      </c>
      <c r="L31" s="15">
        <v>0</v>
      </c>
      <c r="M31" s="15">
        <v>0</v>
      </c>
      <c r="N31" s="15">
        <f>E31*0.115+99.88</f>
        <v>715.13</v>
      </c>
      <c r="O31" s="15">
        <f t="shared" si="18"/>
        <v>1303.33</v>
      </c>
      <c r="P31" s="18">
        <f t="shared" si="14"/>
        <v>4046.67</v>
      </c>
      <c r="Q31" s="10">
        <v>256.68</v>
      </c>
      <c r="R31" s="10">
        <v>1070</v>
      </c>
      <c r="S31" s="35">
        <f t="shared" si="15"/>
        <v>1326.68</v>
      </c>
    </row>
    <row r="32" spans="2:19" x14ac:dyDescent="0.25">
      <c r="B32" t="s">
        <v>125</v>
      </c>
      <c r="C32" t="s">
        <v>104</v>
      </c>
      <c r="D32" t="s">
        <v>78</v>
      </c>
      <c r="E32" s="15">
        <v>5350</v>
      </c>
      <c r="F32" s="29">
        <v>15</v>
      </c>
      <c r="G32" s="15"/>
      <c r="H32" s="15">
        <f t="shared" si="16"/>
        <v>5350</v>
      </c>
      <c r="I32" s="15">
        <v>0</v>
      </c>
      <c r="J32" s="15">
        <v>588.20000000000005</v>
      </c>
      <c r="K32" s="15">
        <f t="shared" si="17"/>
        <v>588.20000000000005</v>
      </c>
      <c r="L32" s="15">
        <v>0</v>
      </c>
      <c r="M32" s="15">
        <v>0</v>
      </c>
      <c r="N32" s="15">
        <f>E32*0.115+93.63</f>
        <v>708.88</v>
      </c>
      <c r="O32" s="15">
        <f t="shared" si="18"/>
        <v>1297.08</v>
      </c>
      <c r="P32" s="18">
        <f t="shared" si="14"/>
        <v>4052.92</v>
      </c>
      <c r="Q32" s="10">
        <v>256.68</v>
      </c>
      <c r="R32" s="10">
        <v>1070</v>
      </c>
      <c r="S32" s="35">
        <f t="shared" si="15"/>
        <v>1326.68</v>
      </c>
    </row>
    <row r="33" spans="2:19" x14ac:dyDescent="0.25">
      <c r="B33" t="s">
        <v>126</v>
      </c>
      <c r="C33" t="s">
        <v>94</v>
      </c>
      <c r="D33" t="s">
        <v>81</v>
      </c>
      <c r="E33" s="15">
        <v>5350</v>
      </c>
      <c r="F33" s="29">
        <v>15</v>
      </c>
      <c r="G33" s="15"/>
      <c r="H33" s="15">
        <f t="shared" si="16"/>
        <v>5350</v>
      </c>
      <c r="I33" s="15">
        <v>0</v>
      </c>
      <c r="J33" s="15">
        <v>588.20000000000005</v>
      </c>
      <c r="K33" s="15">
        <f t="shared" si="17"/>
        <v>588.20000000000005</v>
      </c>
      <c r="L33" s="15">
        <v>0</v>
      </c>
      <c r="M33" s="15">
        <v>0</v>
      </c>
      <c r="N33" s="15">
        <f t="shared" ref="N33:N39" si="19">E33*0.115+93.63</f>
        <v>708.88</v>
      </c>
      <c r="O33" s="15">
        <f t="shared" si="18"/>
        <v>1297.08</v>
      </c>
      <c r="P33" s="18">
        <f t="shared" si="14"/>
        <v>4052.92</v>
      </c>
      <c r="Q33" s="10">
        <v>256.68</v>
      </c>
      <c r="R33" s="10">
        <v>1070</v>
      </c>
      <c r="S33" s="35">
        <f t="shared" si="15"/>
        <v>1326.68</v>
      </c>
    </row>
    <row r="34" spans="2:19" x14ac:dyDescent="0.25">
      <c r="B34" t="s">
        <v>127</v>
      </c>
      <c r="C34" t="s">
        <v>98</v>
      </c>
      <c r="D34" t="s">
        <v>81</v>
      </c>
      <c r="E34" s="15">
        <v>5350</v>
      </c>
      <c r="F34" s="29">
        <v>15</v>
      </c>
      <c r="G34" s="15"/>
      <c r="H34" s="15">
        <f t="shared" si="16"/>
        <v>5350</v>
      </c>
      <c r="I34" s="15">
        <v>0</v>
      </c>
      <c r="J34" s="15">
        <v>588.20000000000005</v>
      </c>
      <c r="K34" s="15">
        <f t="shared" si="17"/>
        <v>588.20000000000005</v>
      </c>
      <c r="L34" s="15">
        <v>0</v>
      </c>
      <c r="M34" s="15">
        <v>0</v>
      </c>
      <c r="N34" s="15">
        <f t="shared" si="19"/>
        <v>708.88</v>
      </c>
      <c r="O34" s="15">
        <f t="shared" si="18"/>
        <v>1297.08</v>
      </c>
      <c r="P34" s="18">
        <f t="shared" si="14"/>
        <v>4052.92</v>
      </c>
      <c r="Q34" s="10">
        <v>256.68</v>
      </c>
      <c r="R34" s="10">
        <v>1070</v>
      </c>
      <c r="S34" s="35">
        <f t="shared" si="15"/>
        <v>1326.68</v>
      </c>
    </row>
    <row r="35" spans="2:19" x14ac:dyDescent="0.25">
      <c r="B35" t="s">
        <v>128</v>
      </c>
      <c r="C35" t="s">
        <v>101</v>
      </c>
      <c r="D35" t="s">
        <v>81</v>
      </c>
      <c r="E35" s="15">
        <v>5350</v>
      </c>
      <c r="F35" s="29">
        <v>15</v>
      </c>
      <c r="G35" s="15"/>
      <c r="H35" s="15">
        <f t="shared" si="16"/>
        <v>5350</v>
      </c>
      <c r="I35" s="15">
        <v>0</v>
      </c>
      <c r="J35" s="15">
        <v>588.20000000000005</v>
      </c>
      <c r="K35" s="15">
        <f t="shared" si="17"/>
        <v>588.20000000000005</v>
      </c>
      <c r="L35" s="15">
        <v>0</v>
      </c>
      <c r="M35" s="15">
        <v>0</v>
      </c>
      <c r="N35" s="15">
        <f t="shared" si="19"/>
        <v>708.88</v>
      </c>
      <c r="O35" s="15">
        <f t="shared" si="18"/>
        <v>1297.08</v>
      </c>
      <c r="P35" s="18">
        <f t="shared" si="14"/>
        <v>4052.92</v>
      </c>
      <c r="Q35" s="10">
        <v>256.68</v>
      </c>
      <c r="R35" s="10">
        <v>1070</v>
      </c>
      <c r="S35" s="35">
        <f t="shared" si="15"/>
        <v>1326.68</v>
      </c>
    </row>
    <row r="36" spans="2:19" x14ac:dyDescent="0.25">
      <c r="B36" t="s">
        <v>129</v>
      </c>
      <c r="C36" t="s">
        <v>95</v>
      </c>
      <c r="D36" t="s">
        <v>82</v>
      </c>
      <c r="E36" s="15">
        <v>5350</v>
      </c>
      <c r="F36" s="29">
        <v>15</v>
      </c>
      <c r="G36" s="15"/>
      <c r="H36" s="15">
        <f t="shared" si="16"/>
        <v>5350</v>
      </c>
      <c r="I36" s="15">
        <v>0</v>
      </c>
      <c r="J36" s="15">
        <v>588.20000000000005</v>
      </c>
      <c r="K36" s="15">
        <f t="shared" si="17"/>
        <v>588.20000000000005</v>
      </c>
      <c r="L36" s="15">
        <v>0</v>
      </c>
      <c r="M36" s="15">
        <v>0</v>
      </c>
      <c r="N36" s="15">
        <f t="shared" si="19"/>
        <v>708.88</v>
      </c>
      <c r="O36" s="15">
        <f t="shared" si="18"/>
        <v>1297.08</v>
      </c>
      <c r="P36" s="18">
        <f t="shared" si="14"/>
        <v>4052.92</v>
      </c>
      <c r="Q36" s="10">
        <v>256.68</v>
      </c>
      <c r="R36" s="10">
        <v>1070</v>
      </c>
      <c r="S36" s="35">
        <f t="shared" si="15"/>
        <v>1326.68</v>
      </c>
    </row>
    <row r="37" spans="2:19" x14ac:dyDescent="0.25">
      <c r="B37" t="s">
        <v>130</v>
      </c>
      <c r="C37" t="s">
        <v>102</v>
      </c>
      <c r="D37" t="s">
        <v>82</v>
      </c>
      <c r="E37" s="15">
        <v>5350</v>
      </c>
      <c r="F37" s="29">
        <v>15</v>
      </c>
      <c r="G37" s="15"/>
      <c r="H37" s="15">
        <f t="shared" si="16"/>
        <v>5350</v>
      </c>
      <c r="I37" s="15">
        <v>0</v>
      </c>
      <c r="J37" s="15">
        <v>588.20000000000005</v>
      </c>
      <c r="K37" s="15">
        <f t="shared" si="17"/>
        <v>588.20000000000005</v>
      </c>
      <c r="L37" s="15">
        <v>0</v>
      </c>
      <c r="M37" s="15">
        <v>0</v>
      </c>
      <c r="N37" s="15">
        <f t="shared" si="19"/>
        <v>708.88</v>
      </c>
      <c r="O37" s="15">
        <f t="shared" si="18"/>
        <v>1297.08</v>
      </c>
      <c r="P37" s="18">
        <f t="shared" si="14"/>
        <v>4052.92</v>
      </c>
      <c r="Q37" s="10">
        <v>256.68</v>
      </c>
      <c r="R37" s="10">
        <v>1070</v>
      </c>
      <c r="S37" s="35">
        <f t="shared" si="15"/>
        <v>1326.68</v>
      </c>
    </row>
    <row r="38" spans="2:19" x14ac:dyDescent="0.25">
      <c r="B38" t="s">
        <v>131</v>
      </c>
      <c r="C38" t="s">
        <v>85</v>
      </c>
      <c r="D38" t="s">
        <v>83</v>
      </c>
      <c r="E38" s="15">
        <v>5350</v>
      </c>
      <c r="F38" s="29">
        <v>15</v>
      </c>
      <c r="G38" s="15"/>
      <c r="H38" s="15">
        <f t="shared" si="16"/>
        <v>5350</v>
      </c>
      <c r="I38" s="15">
        <v>0</v>
      </c>
      <c r="J38" s="15">
        <v>588.20000000000005</v>
      </c>
      <c r="K38" s="15">
        <f t="shared" si="17"/>
        <v>588.20000000000005</v>
      </c>
      <c r="L38" s="15">
        <v>0</v>
      </c>
      <c r="M38" s="15">
        <v>0</v>
      </c>
      <c r="N38" s="15">
        <f t="shared" si="19"/>
        <v>708.88</v>
      </c>
      <c r="O38" s="15">
        <f t="shared" si="18"/>
        <v>1297.08</v>
      </c>
      <c r="P38" s="18">
        <f t="shared" si="14"/>
        <v>4052.92</v>
      </c>
      <c r="Q38" s="10">
        <v>256.68</v>
      </c>
      <c r="R38" s="10">
        <v>1070</v>
      </c>
      <c r="S38" s="35">
        <f t="shared" si="15"/>
        <v>1326.68</v>
      </c>
    </row>
    <row r="39" spans="2:19" x14ac:dyDescent="0.25">
      <c r="B39" t="s">
        <v>132</v>
      </c>
      <c r="C39" t="s">
        <v>103</v>
      </c>
      <c r="D39" t="s">
        <v>83</v>
      </c>
      <c r="E39" s="15">
        <v>5350</v>
      </c>
      <c r="F39" s="29">
        <v>15</v>
      </c>
      <c r="G39" s="15"/>
      <c r="H39" s="15">
        <f t="shared" si="16"/>
        <v>5350</v>
      </c>
      <c r="I39" s="15">
        <v>0</v>
      </c>
      <c r="J39" s="15">
        <v>588.20000000000005</v>
      </c>
      <c r="K39" s="15">
        <f t="shared" si="17"/>
        <v>588.20000000000005</v>
      </c>
      <c r="L39" s="15">
        <v>0</v>
      </c>
      <c r="M39" s="15">
        <v>0</v>
      </c>
      <c r="N39" s="15">
        <f t="shared" si="19"/>
        <v>708.88</v>
      </c>
      <c r="O39" s="15">
        <f t="shared" si="18"/>
        <v>1297.08</v>
      </c>
      <c r="P39" s="18">
        <f t="shared" si="14"/>
        <v>4052.92</v>
      </c>
      <c r="Q39" s="10">
        <v>256.68</v>
      </c>
      <c r="R39" s="10">
        <v>1070</v>
      </c>
      <c r="S39" s="35">
        <f t="shared" si="15"/>
        <v>1326.68</v>
      </c>
    </row>
    <row r="40" spans="2:19" x14ac:dyDescent="0.25">
      <c r="B40" s="2" t="s">
        <v>26</v>
      </c>
      <c r="C40" s="30"/>
      <c r="D40" s="30"/>
      <c r="E40" s="34">
        <f>SUM(E29:E39)</f>
        <v>58850</v>
      </c>
      <c r="F40" s="34"/>
      <c r="G40" s="34">
        <f>SUM(G29:G39)</f>
        <v>0</v>
      </c>
      <c r="H40" s="34">
        <f>SUM(H29:H39)</f>
        <v>58850</v>
      </c>
      <c r="I40" s="34">
        <f t="shared" ref="I40:S40" si="20">SUM(I29:I39)</f>
        <v>0</v>
      </c>
      <c r="J40" s="34">
        <f t="shared" si="20"/>
        <v>6470.1999999999989</v>
      </c>
      <c r="K40" s="34">
        <f t="shared" si="20"/>
        <v>6470.1999999999989</v>
      </c>
      <c r="L40" s="34">
        <f t="shared" si="20"/>
        <v>0</v>
      </c>
      <c r="M40" s="34">
        <f t="shared" si="20"/>
        <v>0</v>
      </c>
      <c r="N40" s="34">
        <f t="shared" si="20"/>
        <v>7804.0300000000007</v>
      </c>
      <c r="O40" s="34">
        <f t="shared" si="20"/>
        <v>14274.23</v>
      </c>
      <c r="P40" s="34">
        <f t="shared" si="20"/>
        <v>44575.76999999999</v>
      </c>
      <c r="Q40" s="34">
        <f t="shared" si="20"/>
        <v>2823.4799999999996</v>
      </c>
      <c r="R40" s="34">
        <f t="shared" si="20"/>
        <v>11770</v>
      </c>
      <c r="S40" s="34">
        <f t="shared" si="20"/>
        <v>14593.480000000001</v>
      </c>
    </row>
    <row r="41" spans="2:19" x14ac:dyDescent="0.25"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2:19" x14ac:dyDescent="0.25">
      <c r="B42" s="2" t="s">
        <v>140</v>
      </c>
      <c r="C42" s="2" t="s">
        <v>64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2:19" x14ac:dyDescent="0.25">
      <c r="B43" t="s">
        <v>133</v>
      </c>
      <c r="C43" t="s">
        <v>99</v>
      </c>
      <c r="D43" t="s">
        <v>80</v>
      </c>
      <c r="E43" s="15">
        <v>5350</v>
      </c>
      <c r="F43" s="29">
        <v>15</v>
      </c>
      <c r="G43" s="15"/>
      <c r="H43" s="15">
        <f>E43-G43</f>
        <v>5350</v>
      </c>
      <c r="I43" s="15">
        <v>0</v>
      </c>
      <c r="J43" s="15">
        <v>588.20000000000005</v>
      </c>
      <c r="K43" s="15">
        <f>J43-I43</f>
        <v>588.20000000000005</v>
      </c>
      <c r="L43" s="15">
        <v>0</v>
      </c>
      <c r="M43" s="15">
        <v>0</v>
      </c>
      <c r="N43" s="15">
        <f>H43*0.115+101.23</f>
        <v>716.48</v>
      </c>
      <c r="O43" s="15">
        <f>SUM(K43:N43)</f>
        <v>1304.68</v>
      </c>
      <c r="P43" s="18">
        <f>H43-O43</f>
        <v>4045.3199999999997</v>
      </c>
      <c r="Q43" s="10">
        <v>256.68</v>
      </c>
      <c r="R43" s="10">
        <v>1070</v>
      </c>
      <c r="S43" s="35">
        <f t="shared" ref="S43:S44" si="21">Q43+R43</f>
        <v>1326.68</v>
      </c>
    </row>
    <row r="44" spans="2:19" x14ac:dyDescent="0.25">
      <c r="B44" t="s">
        <v>152</v>
      </c>
      <c r="C44" t="s">
        <v>92</v>
      </c>
      <c r="D44" t="s">
        <v>80</v>
      </c>
      <c r="E44" s="15">
        <v>5350</v>
      </c>
      <c r="F44" s="29">
        <v>15</v>
      </c>
      <c r="G44" s="15"/>
      <c r="H44" s="15">
        <f>E44-G44</f>
        <v>5350</v>
      </c>
      <c r="I44" s="15">
        <v>0</v>
      </c>
      <c r="J44" s="15">
        <v>588.20000000000005</v>
      </c>
      <c r="K44" s="15">
        <v>588.20000000000005</v>
      </c>
      <c r="L44" s="15">
        <v>0</v>
      </c>
      <c r="M44" s="15">
        <v>0</v>
      </c>
      <c r="N44" s="15">
        <f>H44*0.115</f>
        <v>615.25</v>
      </c>
      <c r="O44" s="15">
        <f>SUM(K44:N44)</f>
        <v>1203.45</v>
      </c>
      <c r="P44" s="18">
        <f>H44-O44</f>
        <v>4146.55</v>
      </c>
      <c r="Q44" s="10">
        <v>256.68</v>
      </c>
      <c r="R44" s="10">
        <v>1070</v>
      </c>
      <c r="S44" s="35">
        <f t="shared" si="21"/>
        <v>1326.68</v>
      </c>
    </row>
    <row r="45" spans="2:19" x14ac:dyDescent="0.25">
      <c r="B45" s="2" t="s">
        <v>26</v>
      </c>
      <c r="C45" s="30"/>
      <c r="D45" s="30"/>
      <c r="E45" s="34">
        <f>E43+E44</f>
        <v>10700</v>
      </c>
      <c r="F45" s="34"/>
      <c r="G45" s="34">
        <f>G43+G44</f>
        <v>0</v>
      </c>
      <c r="H45" s="34">
        <f t="shared" ref="H45:S45" si="22">H43+H44</f>
        <v>10700</v>
      </c>
      <c r="I45" s="34">
        <f t="shared" si="22"/>
        <v>0</v>
      </c>
      <c r="J45" s="34">
        <f t="shared" si="22"/>
        <v>1176.4000000000001</v>
      </c>
      <c r="K45" s="34">
        <f t="shared" si="22"/>
        <v>1176.4000000000001</v>
      </c>
      <c r="L45" s="34">
        <f t="shared" si="22"/>
        <v>0</v>
      </c>
      <c r="M45" s="34">
        <f t="shared" si="22"/>
        <v>0</v>
      </c>
      <c r="N45" s="34">
        <f t="shared" si="22"/>
        <v>1331.73</v>
      </c>
      <c r="O45" s="34">
        <f t="shared" si="22"/>
        <v>2508.13</v>
      </c>
      <c r="P45" s="34">
        <f t="shared" si="22"/>
        <v>8191.87</v>
      </c>
      <c r="Q45" s="34">
        <f t="shared" si="22"/>
        <v>513.36</v>
      </c>
      <c r="R45" s="34">
        <f t="shared" si="22"/>
        <v>2140</v>
      </c>
      <c r="S45" s="34">
        <f t="shared" si="22"/>
        <v>2653.36</v>
      </c>
    </row>
    <row r="46" spans="2:19" x14ac:dyDescent="0.25">
      <c r="B46" s="2"/>
      <c r="E46" s="15"/>
      <c r="F46" s="15"/>
      <c r="G46" s="15"/>
      <c r="H46" s="16"/>
      <c r="I46" s="16"/>
      <c r="J46" s="16"/>
      <c r="K46" s="16"/>
      <c r="L46" s="16"/>
      <c r="M46" s="16"/>
      <c r="N46" s="16"/>
      <c r="O46" s="16"/>
      <c r="P46" s="16"/>
      <c r="Q46" s="8"/>
      <c r="R46" s="8"/>
      <c r="S46" s="8"/>
    </row>
    <row r="47" spans="2:19" x14ac:dyDescent="0.25">
      <c r="B47" s="2" t="s">
        <v>161</v>
      </c>
      <c r="C47" s="2" t="s">
        <v>162</v>
      </c>
      <c r="E47" s="15"/>
      <c r="F47" s="15"/>
      <c r="G47" s="15"/>
      <c r="H47" s="16"/>
      <c r="I47" s="16"/>
      <c r="J47" s="16"/>
      <c r="K47" s="16"/>
      <c r="L47" s="16"/>
      <c r="M47" s="16"/>
      <c r="N47" s="16"/>
      <c r="O47" s="16"/>
      <c r="P47" s="16"/>
      <c r="Q47" s="8"/>
      <c r="R47" s="8"/>
      <c r="S47" s="8"/>
    </row>
    <row r="48" spans="2:19" x14ac:dyDescent="0.25">
      <c r="B48" t="s">
        <v>163</v>
      </c>
      <c r="C48" s="11" t="s">
        <v>42</v>
      </c>
      <c r="D48" t="s">
        <v>2</v>
      </c>
      <c r="E48" s="15">
        <v>10000</v>
      </c>
      <c r="F48" s="29">
        <v>15</v>
      </c>
      <c r="G48" s="15"/>
      <c r="H48" s="15">
        <f>E48-G48</f>
        <v>10000</v>
      </c>
      <c r="I48" s="15">
        <v>0</v>
      </c>
      <c r="J48" s="15">
        <v>1581.44</v>
      </c>
      <c r="K48" s="15">
        <f>J48-I48</f>
        <v>1581.44</v>
      </c>
      <c r="L48" s="15">
        <v>0</v>
      </c>
      <c r="M48" s="15">
        <v>0</v>
      </c>
      <c r="N48" s="15">
        <f>E48*0.115+175</f>
        <v>1325</v>
      </c>
      <c r="O48" s="15">
        <f>SUM(K48:N48)</f>
        <v>2906.44</v>
      </c>
      <c r="P48" s="18">
        <f>H48-O48</f>
        <v>7093.5599999999995</v>
      </c>
      <c r="Q48" s="10">
        <v>285.52999999999997</v>
      </c>
      <c r="R48" s="10">
        <v>2000</v>
      </c>
      <c r="S48" s="35">
        <f>Q48+R48</f>
        <v>2285.5299999999997</v>
      </c>
    </row>
    <row r="49" spans="2:19" x14ac:dyDescent="0.25">
      <c r="B49" s="2" t="s">
        <v>26</v>
      </c>
      <c r="E49" s="34">
        <f>E48</f>
        <v>10000</v>
      </c>
      <c r="F49" s="34"/>
      <c r="G49" s="34">
        <f>G48</f>
        <v>0</v>
      </c>
      <c r="H49" s="34">
        <f t="shared" ref="H49:S49" si="23">H48</f>
        <v>10000</v>
      </c>
      <c r="I49" s="34">
        <f t="shared" si="23"/>
        <v>0</v>
      </c>
      <c r="J49" s="34">
        <f t="shared" si="23"/>
        <v>1581.44</v>
      </c>
      <c r="K49" s="34">
        <f t="shared" si="23"/>
        <v>1581.44</v>
      </c>
      <c r="L49" s="34">
        <f t="shared" si="23"/>
        <v>0</v>
      </c>
      <c r="M49" s="34">
        <f t="shared" si="23"/>
        <v>0</v>
      </c>
      <c r="N49" s="34">
        <f t="shared" si="23"/>
        <v>1325</v>
      </c>
      <c r="O49" s="34">
        <f t="shared" si="23"/>
        <v>2906.44</v>
      </c>
      <c r="P49" s="34">
        <f t="shared" si="23"/>
        <v>7093.5599999999995</v>
      </c>
      <c r="Q49" s="34">
        <f t="shared" si="23"/>
        <v>285.52999999999997</v>
      </c>
      <c r="R49" s="34">
        <f t="shared" si="23"/>
        <v>2000</v>
      </c>
      <c r="S49" s="34">
        <f t="shared" si="23"/>
        <v>2285.5299999999997</v>
      </c>
    </row>
    <row r="50" spans="2:19" x14ac:dyDescent="0.25">
      <c r="B50" s="2"/>
      <c r="E50" s="15"/>
      <c r="F50" s="15"/>
      <c r="G50" s="15"/>
      <c r="H50" s="16"/>
      <c r="I50" s="16"/>
      <c r="J50" s="16"/>
      <c r="K50" s="16"/>
      <c r="L50" s="16"/>
      <c r="M50" s="16"/>
      <c r="N50" s="16"/>
      <c r="O50" s="16"/>
      <c r="P50" s="16"/>
      <c r="Q50" s="8"/>
      <c r="R50" s="8"/>
      <c r="S50" s="8"/>
    </row>
    <row r="52" spans="2:19" ht="18.75" x14ac:dyDescent="0.3">
      <c r="D52" s="4" t="s">
        <v>105</v>
      </c>
      <c r="E52" s="17">
        <f>E9+E20+E26+E40+E45+E49</f>
        <v>158954.95000000001</v>
      </c>
      <c r="F52" s="17"/>
      <c r="G52" s="17">
        <f>G9+G20+G26+G40+G45+G49</f>
        <v>0</v>
      </c>
      <c r="H52" s="17">
        <f t="shared" ref="H52:S52" si="24">H9+H20+H26+H40+H45+H49</f>
        <v>158954.95000000001</v>
      </c>
      <c r="I52" s="17">
        <f t="shared" si="24"/>
        <v>274.08999999999997</v>
      </c>
      <c r="J52" s="17">
        <f t="shared" si="24"/>
        <v>19499.7</v>
      </c>
      <c r="K52" s="17">
        <f t="shared" si="24"/>
        <v>19225.61</v>
      </c>
      <c r="L52" s="17">
        <f t="shared" si="24"/>
        <v>0</v>
      </c>
      <c r="M52" s="17">
        <f t="shared" si="24"/>
        <v>0</v>
      </c>
      <c r="N52" s="17">
        <f t="shared" si="24"/>
        <v>20047.61925</v>
      </c>
      <c r="O52" s="17">
        <f t="shared" si="24"/>
        <v>39273.229249999997</v>
      </c>
      <c r="P52" s="17">
        <f t="shared" si="24"/>
        <v>119681.72074999998</v>
      </c>
      <c r="Q52" s="17">
        <f t="shared" si="24"/>
        <v>7020.3799999999992</v>
      </c>
      <c r="R52" s="17">
        <f t="shared" si="24"/>
        <v>31790.989999999998</v>
      </c>
      <c r="S52" s="17">
        <f t="shared" si="24"/>
        <v>38811.370000000003</v>
      </c>
    </row>
    <row r="56" spans="2:19" ht="15.75" thickBot="1" x14ac:dyDescent="0.3">
      <c r="E56" s="375"/>
      <c r="F56" s="375"/>
      <c r="N56" s="375"/>
      <c r="O56" s="375"/>
    </row>
    <row r="58" spans="2:19" x14ac:dyDescent="0.25">
      <c r="E58" s="377" t="s">
        <v>146</v>
      </c>
      <c r="F58" s="377"/>
      <c r="N58" s="377" t="s">
        <v>157</v>
      </c>
      <c r="O58" s="377"/>
    </row>
  </sheetData>
  <mergeCells count="6">
    <mergeCell ref="C3:D3"/>
    <mergeCell ref="E4:S4"/>
    <mergeCell ref="E56:F56"/>
    <mergeCell ref="N56:O56"/>
    <mergeCell ref="E58:F58"/>
    <mergeCell ref="N58:O58"/>
  </mergeCells>
  <pageMargins left="0.70866141732283472" right="0.70866141732283472" top="0.74803149606299213" bottom="0.74803149606299213" header="0.31496062992125984" footer="0.31496062992125984"/>
  <pageSetup paperSize="300" scale="46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S58"/>
  <sheetViews>
    <sheetView topLeftCell="C13" workbookViewId="0">
      <selection activeCell="P52" sqref="P52"/>
    </sheetView>
  </sheetViews>
  <sheetFormatPr baseColWidth="10" defaultRowHeight="15" x14ac:dyDescent="0.25"/>
  <cols>
    <col min="2" max="2" width="16.5703125" customWidth="1"/>
    <col min="3" max="3" width="34.140625" customWidth="1"/>
    <col min="4" max="4" width="29.85546875" customWidth="1"/>
    <col min="5" max="5" width="18.42578125" customWidth="1"/>
    <col min="9" max="9" width="21" customWidth="1"/>
    <col min="10" max="11" width="0" hidden="1" customWidth="1"/>
    <col min="12" max="12" width="13.42578125" customWidth="1"/>
    <col min="13" max="13" width="11.42578125" customWidth="1"/>
    <col min="14" max="14" width="14" customWidth="1"/>
    <col min="15" max="15" width="18.5703125" customWidth="1"/>
    <col min="16" max="16" width="16.85546875" customWidth="1"/>
    <col min="17" max="17" width="14" customWidth="1"/>
    <col min="18" max="18" width="15.7109375" customWidth="1"/>
    <col min="19" max="19" width="17" customWidth="1"/>
  </cols>
  <sheetData>
    <row r="3" spans="2:19" ht="18.75" x14ac:dyDescent="0.25">
      <c r="C3" s="372" t="s">
        <v>168</v>
      </c>
      <c r="D3" s="372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2:19" ht="15.75" thickBot="1" x14ac:dyDescent="0.3">
      <c r="E4" s="367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9"/>
    </row>
    <row r="5" spans="2:19" ht="58.5" thickTop="1" thickBot="1" x14ac:dyDescent="0.3">
      <c r="B5" s="31" t="s">
        <v>9</v>
      </c>
      <c r="C5" s="32" t="s">
        <v>10</v>
      </c>
      <c r="D5" s="32" t="s">
        <v>0</v>
      </c>
      <c r="E5" s="39" t="s">
        <v>11</v>
      </c>
      <c r="F5" s="39" t="s">
        <v>150</v>
      </c>
      <c r="G5" s="40" t="s">
        <v>169</v>
      </c>
      <c r="H5" s="39" t="s">
        <v>170</v>
      </c>
      <c r="I5" s="39" t="s">
        <v>12</v>
      </c>
      <c r="J5" s="39" t="s">
        <v>107</v>
      </c>
      <c r="K5" s="39" t="s">
        <v>143</v>
      </c>
      <c r="L5" s="39" t="s">
        <v>13</v>
      </c>
      <c r="M5" s="39" t="s">
        <v>171</v>
      </c>
      <c r="N5" s="39" t="s">
        <v>16</v>
      </c>
      <c r="O5" s="39" t="s">
        <v>17</v>
      </c>
      <c r="P5" s="39" t="s">
        <v>72</v>
      </c>
      <c r="Q5" s="32" t="s">
        <v>8</v>
      </c>
      <c r="R5" s="32" t="s">
        <v>18</v>
      </c>
      <c r="S5" s="41" t="s">
        <v>73</v>
      </c>
    </row>
    <row r="6" spans="2:19" ht="15.75" thickTop="1" x14ac:dyDescent="0.25">
      <c r="B6" s="2" t="s">
        <v>19</v>
      </c>
      <c r="C6" s="2" t="s">
        <v>20</v>
      </c>
      <c r="D6" s="2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2:19" x14ac:dyDescent="0.25">
      <c r="B7" t="s">
        <v>21</v>
      </c>
      <c r="C7" s="11" t="s">
        <v>22</v>
      </c>
      <c r="D7" t="s">
        <v>25</v>
      </c>
      <c r="E7" s="15">
        <v>16954.95</v>
      </c>
      <c r="F7" s="29">
        <v>15</v>
      </c>
      <c r="G7" s="15"/>
      <c r="H7" s="15"/>
      <c r="I7" s="15">
        <f>E7-G7</f>
        <v>16954.95</v>
      </c>
      <c r="J7" s="15">
        <v>0</v>
      </c>
      <c r="K7" s="15">
        <v>3246.93</v>
      </c>
      <c r="L7" s="15">
        <f>K7-J7</f>
        <v>3246.93</v>
      </c>
      <c r="M7" s="15">
        <v>0</v>
      </c>
      <c r="N7" s="15">
        <f>E7*0.115+296.71</f>
        <v>2246.52925</v>
      </c>
      <c r="O7" s="15">
        <f>SUM(L7:N7)</f>
        <v>5493.4592499999999</v>
      </c>
      <c r="P7" s="18">
        <f>I7-O7</f>
        <v>11461.490750000001</v>
      </c>
      <c r="Q7" s="10">
        <v>328.67</v>
      </c>
      <c r="R7" s="10">
        <v>3390.99</v>
      </c>
      <c r="S7" s="35">
        <f>SUM(Q7:R7)</f>
        <v>3719.66</v>
      </c>
    </row>
    <row r="8" spans="2:19" x14ac:dyDescent="0.25">
      <c r="B8" t="s">
        <v>23</v>
      </c>
      <c r="C8" s="11" t="s">
        <v>24</v>
      </c>
      <c r="D8" t="s">
        <v>3</v>
      </c>
      <c r="E8" s="15">
        <v>4850</v>
      </c>
      <c r="F8" s="29">
        <v>15</v>
      </c>
      <c r="G8" s="15"/>
      <c r="H8" s="15"/>
      <c r="I8" s="15">
        <f>E8-G8</f>
        <v>4850</v>
      </c>
      <c r="J8" s="15">
        <v>0</v>
      </c>
      <c r="K8" s="15">
        <v>491.69</v>
      </c>
      <c r="L8" s="15">
        <f t="shared" ref="L8" si="0">K8-J8</f>
        <v>491.69</v>
      </c>
      <c r="M8" s="15">
        <v>0</v>
      </c>
      <c r="N8" s="15">
        <f>E8*0.115+84.88</f>
        <v>642.63</v>
      </c>
      <c r="O8" s="15">
        <f>SUM(L8:N8)</f>
        <v>1134.32</v>
      </c>
      <c r="P8" s="18">
        <f>I8-O8</f>
        <v>3715.6800000000003</v>
      </c>
      <c r="Q8" s="10">
        <v>253.58</v>
      </c>
      <c r="R8" s="10">
        <v>970</v>
      </c>
      <c r="S8" s="35">
        <f t="shared" ref="S8" si="1">SUM(Q8:R8)</f>
        <v>1223.58</v>
      </c>
    </row>
    <row r="9" spans="2:19" x14ac:dyDescent="0.25">
      <c r="B9" s="7" t="s">
        <v>26</v>
      </c>
      <c r="C9" s="30"/>
      <c r="D9" s="30"/>
      <c r="E9" s="34">
        <f>SUM(E7:E8)</f>
        <v>21804.95</v>
      </c>
      <c r="F9" s="34"/>
      <c r="G9" s="34">
        <f t="shared" ref="G9:S9" si="2">SUM(G7:G8)</f>
        <v>0</v>
      </c>
      <c r="H9" s="34">
        <f t="shared" si="2"/>
        <v>0</v>
      </c>
      <c r="I9" s="34">
        <f t="shared" si="2"/>
        <v>21804.95</v>
      </c>
      <c r="J9" s="34">
        <f t="shared" si="2"/>
        <v>0</v>
      </c>
      <c r="K9" s="34">
        <f t="shared" si="2"/>
        <v>3738.62</v>
      </c>
      <c r="L9" s="34">
        <f t="shared" si="2"/>
        <v>3738.62</v>
      </c>
      <c r="M9" s="34">
        <f t="shared" si="2"/>
        <v>0</v>
      </c>
      <c r="N9" s="34">
        <f t="shared" si="2"/>
        <v>2889.1592500000002</v>
      </c>
      <c r="O9" s="34">
        <f t="shared" si="2"/>
        <v>6627.7792499999996</v>
      </c>
      <c r="P9" s="34">
        <f t="shared" si="2"/>
        <v>15177.170750000001</v>
      </c>
      <c r="Q9" s="34">
        <f t="shared" si="2"/>
        <v>582.25</v>
      </c>
      <c r="R9" s="34">
        <f t="shared" si="2"/>
        <v>4360.99</v>
      </c>
      <c r="S9" s="34">
        <f t="shared" si="2"/>
        <v>4943.24</v>
      </c>
    </row>
    <row r="10" spans="2:19" x14ac:dyDescent="0.25"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2:19" x14ac:dyDescent="0.25">
      <c r="B11" s="2" t="s">
        <v>27</v>
      </c>
      <c r="C11" s="2" t="s">
        <v>28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2:19" x14ac:dyDescent="0.25">
      <c r="B12" t="s">
        <v>32</v>
      </c>
      <c r="C12" s="11" t="s">
        <v>37</v>
      </c>
      <c r="D12" t="s">
        <v>1</v>
      </c>
      <c r="E12" s="15">
        <v>10000</v>
      </c>
      <c r="F12" s="29">
        <v>15</v>
      </c>
      <c r="G12" s="15"/>
      <c r="H12" s="15"/>
      <c r="I12" s="15">
        <f>E12-G12</f>
        <v>10000</v>
      </c>
      <c r="J12" s="15">
        <v>0</v>
      </c>
      <c r="K12" s="15">
        <v>1581.44</v>
      </c>
      <c r="L12" s="15">
        <f>K12-J12</f>
        <v>1581.44</v>
      </c>
      <c r="M12" s="15">
        <v>0</v>
      </c>
      <c r="N12" s="15">
        <f>E12*0.115+175</f>
        <v>1325</v>
      </c>
      <c r="O12" s="15">
        <f>SUM(L12:N12)</f>
        <v>2906.44</v>
      </c>
      <c r="P12" s="18">
        <f>I12-O12</f>
        <v>7093.5599999999995</v>
      </c>
      <c r="Q12" s="10">
        <v>285.52999999999997</v>
      </c>
      <c r="R12" s="10">
        <v>2000</v>
      </c>
      <c r="S12" s="35">
        <f>Q12+R12</f>
        <v>2285.5299999999997</v>
      </c>
    </row>
    <row r="13" spans="2:19" x14ac:dyDescent="0.25">
      <c r="B13" t="s">
        <v>33</v>
      </c>
      <c r="C13" s="11" t="s">
        <v>38</v>
      </c>
      <c r="D13" t="s">
        <v>74</v>
      </c>
      <c r="E13" s="15">
        <v>5350</v>
      </c>
      <c r="F13" s="29">
        <v>15</v>
      </c>
      <c r="G13" s="19"/>
      <c r="H13" s="19"/>
      <c r="I13" s="15">
        <f>E13-G13</f>
        <v>5350</v>
      </c>
      <c r="J13" s="15">
        <v>0</v>
      </c>
      <c r="K13" s="15">
        <v>588.20000000000005</v>
      </c>
      <c r="L13" s="15">
        <f t="shared" ref="L13:L19" si="3">K13-J13</f>
        <v>588.20000000000005</v>
      </c>
      <c r="M13" s="15">
        <v>0</v>
      </c>
      <c r="N13" s="15">
        <f>E13*0.115+93.74</f>
        <v>708.99</v>
      </c>
      <c r="O13" s="15">
        <f>SUM(L13:N13)</f>
        <v>1297.19</v>
      </c>
      <c r="P13" s="18">
        <f>I13-O13</f>
        <v>4052.81</v>
      </c>
      <c r="Q13" s="10">
        <v>256.68</v>
      </c>
      <c r="R13" s="10">
        <v>1070</v>
      </c>
      <c r="S13" s="35">
        <f>Q13+R13</f>
        <v>1326.68</v>
      </c>
    </row>
    <row r="14" spans="2:19" x14ac:dyDescent="0.25">
      <c r="B14" t="s">
        <v>34</v>
      </c>
      <c r="C14" t="s">
        <v>141</v>
      </c>
      <c r="D14" t="s">
        <v>75</v>
      </c>
      <c r="E14" s="21">
        <v>5350</v>
      </c>
      <c r="F14" s="29">
        <v>15</v>
      </c>
      <c r="G14" s="3"/>
      <c r="H14" s="3">
        <v>5880.24</v>
      </c>
      <c r="I14" s="15">
        <f>E14+H14-G14</f>
        <v>11230.24</v>
      </c>
      <c r="J14" s="3">
        <v>0</v>
      </c>
      <c r="K14" s="3">
        <v>588.20000000000005</v>
      </c>
      <c r="L14" s="15">
        <f t="shared" si="3"/>
        <v>588.20000000000005</v>
      </c>
      <c r="M14" s="3">
        <v>3000</v>
      </c>
      <c r="N14" s="15">
        <v>0</v>
      </c>
      <c r="O14" s="15">
        <f>L14+M14</f>
        <v>3588.2</v>
      </c>
      <c r="P14" s="18">
        <f>I14-L14-M14</f>
        <v>7642.0399999999991</v>
      </c>
      <c r="Q14" s="27">
        <v>256.68</v>
      </c>
      <c r="R14" s="10">
        <v>0</v>
      </c>
      <c r="S14" s="35">
        <f>Q14+R14</f>
        <v>256.68</v>
      </c>
    </row>
    <row r="15" spans="2:19" x14ac:dyDescent="0.25">
      <c r="B15" t="s">
        <v>35</v>
      </c>
      <c r="C15" t="s">
        <v>111</v>
      </c>
      <c r="D15" t="s">
        <v>77</v>
      </c>
      <c r="E15" s="15">
        <v>6000</v>
      </c>
      <c r="F15" s="29">
        <v>15</v>
      </c>
      <c r="G15" s="15"/>
      <c r="H15" s="15"/>
      <c r="I15" s="15">
        <f>E15-G15</f>
        <v>6000</v>
      </c>
      <c r="J15" s="15">
        <v>0</v>
      </c>
      <c r="K15" s="15">
        <v>727.04</v>
      </c>
      <c r="L15" s="15">
        <f t="shared" si="3"/>
        <v>727.04</v>
      </c>
      <c r="M15" s="15">
        <v>0</v>
      </c>
      <c r="N15" s="15">
        <f>E15*0.115</f>
        <v>690</v>
      </c>
      <c r="O15" s="15">
        <f>SUM(L15:N15)</f>
        <v>1417.04</v>
      </c>
      <c r="P15" s="18">
        <f>I15-O15</f>
        <v>4582.96</v>
      </c>
      <c r="Q15" s="10">
        <v>260.72000000000003</v>
      </c>
      <c r="R15" s="10">
        <v>1200</v>
      </c>
      <c r="S15" s="35">
        <f>Q15+R15</f>
        <v>1460.72</v>
      </c>
    </row>
    <row r="16" spans="2:19" x14ac:dyDescent="0.25">
      <c r="B16" t="s">
        <v>36</v>
      </c>
      <c r="C16" t="s">
        <v>86</v>
      </c>
      <c r="D16" t="s">
        <v>39</v>
      </c>
      <c r="E16" s="15">
        <v>4500</v>
      </c>
      <c r="F16" s="29">
        <v>15</v>
      </c>
      <c r="G16" s="15"/>
      <c r="H16" s="15"/>
      <c r="I16" s="15">
        <f>E16-G16</f>
        <v>4500</v>
      </c>
      <c r="J16" s="15">
        <v>0</v>
      </c>
      <c r="K16" s="15">
        <v>428.97</v>
      </c>
      <c r="L16" s="15">
        <f t="shared" si="3"/>
        <v>428.97</v>
      </c>
      <c r="M16" s="15">
        <v>0</v>
      </c>
      <c r="N16" s="15">
        <f>E16*0.115+87.5</f>
        <v>605</v>
      </c>
      <c r="O16" s="15">
        <f>SUM(L16:N16)</f>
        <v>1033.97</v>
      </c>
      <c r="P16" s="18">
        <f>I16-O16</f>
        <v>3466.0299999999997</v>
      </c>
      <c r="Q16" s="10">
        <v>251.41</v>
      </c>
      <c r="R16" s="10">
        <v>900</v>
      </c>
      <c r="S16" s="35">
        <f>Q16+R16</f>
        <v>1151.4100000000001</v>
      </c>
    </row>
    <row r="17" spans="2:19" x14ac:dyDescent="0.25">
      <c r="B17" t="s">
        <v>115</v>
      </c>
      <c r="C17" t="s">
        <v>87</v>
      </c>
      <c r="D17" t="s">
        <v>39</v>
      </c>
      <c r="E17" s="15">
        <v>4500</v>
      </c>
      <c r="F17" s="29">
        <v>15</v>
      </c>
      <c r="G17" s="15"/>
      <c r="H17" s="15"/>
      <c r="I17" s="15">
        <f>E17-G17</f>
        <v>4500</v>
      </c>
      <c r="J17" s="15">
        <v>0</v>
      </c>
      <c r="K17" s="15">
        <v>428.97</v>
      </c>
      <c r="L17" s="15">
        <f t="shared" si="3"/>
        <v>428.97</v>
      </c>
      <c r="M17" s="15">
        <v>0</v>
      </c>
      <c r="N17" s="15">
        <f>E17*0.115+78.75</f>
        <v>596.25</v>
      </c>
      <c r="O17" s="15">
        <f>SUM(L17:N17)</f>
        <v>1025.22</v>
      </c>
      <c r="P17" s="18">
        <f>I17-O17</f>
        <v>3474.7799999999997</v>
      </c>
      <c r="Q17" s="10">
        <v>251.41</v>
      </c>
      <c r="R17" s="10">
        <v>900</v>
      </c>
      <c r="S17" s="35">
        <f t="shared" ref="S17:S19" si="4">Q17+R17</f>
        <v>1151.4100000000001</v>
      </c>
    </row>
    <row r="18" spans="2:19" x14ac:dyDescent="0.25">
      <c r="B18" t="s">
        <v>116</v>
      </c>
      <c r="C18" t="s">
        <v>89</v>
      </c>
      <c r="D18" t="s">
        <v>4</v>
      </c>
      <c r="E18" s="15">
        <v>2700</v>
      </c>
      <c r="F18" s="29">
        <v>15</v>
      </c>
      <c r="G18" s="15"/>
      <c r="H18" s="15"/>
      <c r="I18" s="15">
        <f>E18-G18</f>
        <v>2700</v>
      </c>
      <c r="J18" s="15">
        <v>147.32</v>
      </c>
      <c r="K18" s="15">
        <v>188.33</v>
      </c>
      <c r="L18" s="15">
        <f t="shared" si="3"/>
        <v>41.010000000000019</v>
      </c>
      <c r="M18" s="15">
        <v>0</v>
      </c>
      <c r="N18" s="15">
        <f>E18*0.115+47.25</f>
        <v>357.75</v>
      </c>
      <c r="O18" s="15">
        <f>SUM(L18:N18)</f>
        <v>398.76</v>
      </c>
      <c r="P18" s="18">
        <f>I18-O18</f>
        <v>2301.2399999999998</v>
      </c>
      <c r="Q18" s="10">
        <v>240.25</v>
      </c>
      <c r="R18" s="10">
        <v>540</v>
      </c>
      <c r="S18" s="35">
        <f t="shared" si="4"/>
        <v>780.25</v>
      </c>
    </row>
    <row r="19" spans="2:19" x14ac:dyDescent="0.25">
      <c r="B19" t="s">
        <v>117</v>
      </c>
      <c r="C19" t="s">
        <v>88</v>
      </c>
      <c r="D19" t="s">
        <v>40</v>
      </c>
      <c r="E19" s="15">
        <v>3150</v>
      </c>
      <c r="F19" s="29">
        <v>15</v>
      </c>
      <c r="G19" s="15"/>
      <c r="H19" s="15"/>
      <c r="I19" s="15">
        <f>E19-G19</f>
        <v>3150</v>
      </c>
      <c r="J19" s="15">
        <v>126.77</v>
      </c>
      <c r="K19" s="15">
        <v>237.29</v>
      </c>
      <c r="L19" s="15">
        <f t="shared" si="3"/>
        <v>110.52</v>
      </c>
      <c r="M19" s="15">
        <v>0</v>
      </c>
      <c r="N19" s="15">
        <f>E19*0.115</f>
        <v>362.25</v>
      </c>
      <c r="O19" s="15">
        <f>SUM(L19:N19)</f>
        <v>472.77</v>
      </c>
      <c r="P19" s="18">
        <f>I19-O19</f>
        <v>2677.23</v>
      </c>
      <c r="Q19" s="10">
        <v>243.04</v>
      </c>
      <c r="R19" s="10">
        <v>630</v>
      </c>
      <c r="S19" s="35">
        <f t="shared" si="4"/>
        <v>873.04</v>
      </c>
    </row>
    <row r="20" spans="2:19" x14ac:dyDescent="0.25">
      <c r="B20" s="2" t="s">
        <v>26</v>
      </c>
      <c r="C20" s="30"/>
      <c r="D20" s="30"/>
      <c r="E20" s="34">
        <f t="shared" ref="E20:S20" si="5">SUM(E12:E19)</f>
        <v>41550</v>
      </c>
      <c r="F20" s="34"/>
      <c r="G20" s="34">
        <f t="shared" si="5"/>
        <v>0</v>
      </c>
      <c r="H20" s="34">
        <f t="shared" si="5"/>
        <v>5880.24</v>
      </c>
      <c r="I20" s="34">
        <f t="shared" si="5"/>
        <v>47430.239999999998</v>
      </c>
      <c r="J20" s="34">
        <f t="shared" si="5"/>
        <v>274.08999999999997</v>
      </c>
      <c r="K20" s="34">
        <f t="shared" si="5"/>
        <v>4768.4400000000005</v>
      </c>
      <c r="L20" s="34">
        <f t="shared" si="5"/>
        <v>4494.3500000000013</v>
      </c>
      <c r="M20" s="34">
        <f t="shared" si="5"/>
        <v>3000</v>
      </c>
      <c r="N20" s="34">
        <f t="shared" si="5"/>
        <v>4645.24</v>
      </c>
      <c r="O20" s="34">
        <f t="shared" si="5"/>
        <v>12139.589999999998</v>
      </c>
      <c r="P20" s="34">
        <f t="shared" si="5"/>
        <v>35290.649999999994</v>
      </c>
      <c r="Q20" s="34">
        <f t="shared" si="5"/>
        <v>2045.7200000000003</v>
      </c>
      <c r="R20" s="34">
        <f t="shared" si="5"/>
        <v>7240</v>
      </c>
      <c r="S20" s="34">
        <f t="shared" si="5"/>
        <v>9285.7200000000012</v>
      </c>
    </row>
    <row r="21" spans="2:19" x14ac:dyDescent="0.25">
      <c r="B21" s="2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2:19" x14ac:dyDescent="0.25">
      <c r="B22" s="2" t="s">
        <v>50</v>
      </c>
      <c r="C22" s="2" t="s">
        <v>160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2:19" x14ac:dyDescent="0.25">
      <c r="B23" t="s">
        <v>119</v>
      </c>
      <c r="C23" t="s">
        <v>91</v>
      </c>
      <c r="D23" t="s">
        <v>76</v>
      </c>
      <c r="E23" s="15">
        <v>5350</v>
      </c>
      <c r="F23" s="29">
        <v>15</v>
      </c>
      <c r="G23" s="15"/>
      <c r="H23" s="15"/>
      <c r="I23" s="15">
        <f>E23-G23</f>
        <v>5350</v>
      </c>
      <c r="J23" s="15">
        <v>0</v>
      </c>
      <c r="K23" s="15">
        <v>588.20000000000005</v>
      </c>
      <c r="L23" s="15">
        <f>K23-J23</f>
        <v>588.20000000000005</v>
      </c>
      <c r="M23" s="15">
        <v>0</v>
      </c>
      <c r="N23" s="15">
        <f>E23*0.115+93.66</f>
        <v>708.91</v>
      </c>
      <c r="O23" s="15">
        <f>SUM(L23:N23)</f>
        <v>1297.1100000000001</v>
      </c>
      <c r="P23" s="18">
        <f>I23-O23</f>
        <v>4052.89</v>
      </c>
      <c r="Q23" s="10">
        <v>256.68</v>
      </c>
      <c r="R23" s="10">
        <v>1070</v>
      </c>
      <c r="S23" s="35">
        <f>Q23+R23</f>
        <v>1326.68</v>
      </c>
    </row>
    <row r="24" spans="2:19" x14ac:dyDescent="0.25">
      <c r="B24" t="s">
        <v>120</v>
      </c>
      <c r="C24" t="s">
        <v>93</v>
      </c>
      <c r="D24" t="s">
        <v>78</v>
      </c>
      <c r="E24" s="15">
        <v>5350</v>
      </c>
      <c r="F24" s="29">
        <v>15</v>
      </c>
      <c r="G24" s="15"/>
      <c r="H24" s="15"/>
      <c r="I24" s="15">
        <f>E24-G24</f>
        <v>5350</v>
      </c>
      <c r="J24" s="15">
        <v>0</v>
      </c>
      <c r="K24" s="15">
        <v>588.20000000000005</v>
      </c>
      <c r="L24" s="15">
        <f>K24-J24</f>
        <v>588.20000000000005</v>
      </c>
      <c r="M24" s="15">
        <v>0</v>
      </c>
      <c r="N24" s="15">
        <f>E24*0.115+93.63</f>
        <v>708.88</v>
      </c>
      <c r="O24" s="15">
        <f>SUM(L24:N24)</f>
        <v>1297.08</v>
      </c>
      <c r="P24" s="18">
        <f>I24-O24</f>
        <v>4052.92</v>
      </c>
      <c r="Q24" s="10">
        <v>256.68</v>
      </c>
      <c r="R24" s="10">
        <v>1070</v>
      </c>
      <c r="S24" s="35">
        <f>Q24+R24</f>
        <v>1326.68</v>
      </c>
    </row>
    <row r="25" spans="2:19" x14ac:dyDescent="0.25">
      <c r="B25" t="s">
        <v>121</v>
      </c>
      <c r="C25" t="s">
        <v>114</v>
      </c>
      <c r="D25" t="s">
        <v>79</v>
      </c>
      <c r="E25" s="15">
        <v>5350</v>
      </c>
      <c r="F25" s="29">
        <v>15</v>
      </c>
      <c r="G25" s="15"/>
      <c r="H25" s="15"/>
      <c r="I25" s="15">
        <f>E25-G25</f>
        <v>5350</v>
      </c>
      <c r="J25" s="15">
        <v>0</v>
      </c>
      <c r="K25" s="15">
        <v>588.20000000000005</v>
      </c>
      <c r="L25" s="15">
        <f>K25-J25</f>
        <v>588.20000000000005</v>
      </c>
      <c r="M25" s="15">
        <v>0</v>
      </c>
      <c r="N25" s="15">
        <f>E25*0.115</f>
        <v>615.25</v>
      </c>
      <c r="O25" s="15">
        <f>SUM(L25:N25)</f>
        <v>1203.45</v>
      </c>
      <c r="P25" s="18">
        <f>I25-O25</f>
        <v>4146.55</v>
      </c>
      <c r="Q25" s="10">
        <v>256.68</v>
      </c>
      <c r="R25" s="10">
        <v>1070</v>
      </c>
      <c r="S25" s="35">
        <f>Q25+R25</f>
        <v>1326.68</v>
      </c>
    </row>
    <row r="26" spans="2:19" x14ac:dyDescent="0.25">
      <c r="B26" s="2" t="s">
        <v>26</v>
      </c>
      <c r="C26" s="30"/>
      <c r="D26" s="30"/>
      <c r="E26" s="34">
        <f>SUM(E23:E25)</f>
        <v>16050</v>
      </c>
      <c r="F26" s="34"/>
      <c r="G26" s="34">
        <f>SUM(G23:G25)</f>
        <v>0</v>
      </c>
      <c r="H26" s="34">
        <f>SUM(H23:H25)</f>
        <v>0</v>
      </c>
      <c r="I26" s="34">
        <f t="shared" ref="I26:S26" si="6">SUM(I23:I25)</f>
        <v>16050</v>
      </c>
      <c r="J26" s="34">
        <f t="shared" si="6"/>
        <v>0</v>
      </c>
      <c r="K26" s="34">
        <f t="shared" si="6"/>
        <v>1764.6000000000001</v>
      </c>
      <c r="L26" s="34">
        <f t="shared" si="6"/>
        <v>1764.6000000000001</v>
      </c>
      <c r="M26" s="34">
        <f t="shared" si="6"/>
        <v>0</v>
      </c>
      <c r="N26" s="34">
        <f t="shared" si="6"/>
        <v>2033.04</v>
      </c>
      <c r="O26" s="34">
        <f t="shared" si="6"/>
        <v>3797.6400000000003</v>
      </c>
      <c r="P26" s="34">
        <f t="shared" si="6"/>
        <v>12252.36</v>
      </c>
      <c r="Q26" s="34">
        <f t="shared" si="6"/>
        <v>770.04</v>
      </c>
      <c r="R26" s="34">
        <f t="shared" si="6"/>
        <v>3210</v>
      </c>
      <c r="S26" s="34">
        <f t="shared" si="6"/>
        <v>3980.04</v>
      </c>
    </row>
    <row r="27" spans="2:19" x14ac:dyDescent="0.25"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2:19" x14ac:dyDescent="0.25">
      <c r="B28" s="2" t="s">
        <v>63</v>
      </c>
      <c r="C28" s="2" t="s">
        <v>51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2:19" x14ac:dyDescent="0.25">
      <c r="B29" t="s">
        <v>122</v>
      </c>
      <c r="C29" t="s">
        <v>97</v>
      </c>
      <c r="D29" t="s">
        <v>80</v>
      </c>
      <c r="E29" s="15">
        <v>5350</v>
      </c>
      <c r="F29" s="29">
        <v>15</v>
      </c>
      <c r="G29" s="15"/>
      <c r="H29" s="15"/>
      <c r="I29" s="15">
        <f t="shared" ref="I29:I39" si="7">E29-G29</f>
        <v>5350</v>
      </c>
      <c r="J29" s="15">
        <v>0</v>
      </c>
      <c r="K29" s="15">
        <v>588.20000000000005</v>
      </c>
      <c r="L29" s="15">
        <f>K29-J29</f>
        <v>588.20000000000005</v>
      </c>
      <c r="M29" s="15">
        <v>0</v>
      </c>
      <c r="N29" s="15">
        <f>E29*0.115+93.65</f>
        <v>708.9</v>
      </c>
      <c r="O29" s="15">
        <f t="shared" ref="O29:O39" si="8">SUM(L29:N29)</f>
        <v>1297.0999999999999</v>
      </c>
      <c r="P29" s="18">
        <f t="shared" ref="P29:P39" si="9">I29-O29</f>
        <v>4052.9</v>
      </c>
      <c r="Q29" s="10">
        <v>256.68</v>
      </c>
      <c r="R29" s="10">
        <v>1070</v>
      </c>
      <c r="S29" s="35">
        <f t="shared" ref="S29:S39" si="10">Q29+R29</f>
        <v>1326.68</v>
      </c>
    </row>
    <row r="30" spans="2:19" x14ac:dyDescent="0.25">
      <c r="B30" t="s">
        <v>123</v>
      </c>
      <c r="C30" t="s">
        <v>100</v>
      </c>
      <c r="D30" t="s">
        <v>80</v>
      </c>
      <c r="E30" s="15">
        <v>5350</v>
      </c>
      <c r="F30" s="29">
        <v>15</v>
      </c>
      <c r="G30" s="15">
        <v>5.94</v>
      </c>
      <c r="H30" s="15"/>
      <c r="I30" s="15">
        <f t="shared" si="7"/>
        <v>5344.06</v>
      </c>
      <c r="J30" s="15">
        <v>0</v>
      </c>
      <c r="K30" s="15">
        <v>588.20000000000005</v>
      </c>
      <c r="L30" s="15">
        <f t="shared" ref="L30:L39" si="11">K30-J30</f>
        <v>588.20000000000005</v>
      </c>
      <c r="M30" s="15">
        <v>0</v>
      </c>
      <c r="N30" s="15">
        <f>E30*0.115+93.71</f>
        <v>708.96</v>
      </c>
      <c r="O30" s="15">
        <f t="shared" si="8"/>
        <v>1297.1600000000001</v>
      </c>
      <c r="P30" s="18">
        <f t="shared" si="9"/>
        <v>4046.9000000000005</v>
      </c>
      <c r="Q30" s="10">
        <v>256.68</v>
      </c>
      <c r="R30" s="10">
        <v>1070</v>
      </c>
      <c r="S30" s="35">
        <f t="shared" si="10"/>
        <v>1326.68</v>
      </c>
    </row>
    <row r="31" spans="2:19" x14ac:dyDescent="0.25">
      <c r="B31" t="s">
        <v>124</v>
      </c>
      <c r="C31" t="s">
        <v>96</v>
      </c>
      <c r="D31" t="s">
        <v>78</v>
      </c>
      <c r="E31" s="15">
        <v>5350</v>
      </c>
      <c r="F31" s="29">
        <v>15</v>
      </c>
      <c r="G31" s="15"/>
      <c r="H31" s="15"/>
      <c r="I31" s="15">
        <f t="shared" si="7"/>
        <v>5350</v>
      </c>
      <c r="J31" s="15">
        <v>0</v>
      </c>
      <c r="K31" s="15">
        <v>588.20000000000005</v>
      </c>
      <c r="L31" s="15">
        <f t="shared" si="11"/>
        <v>588.20000000000005</v>
      </c>
      <c r="M31" s="15">
        <v>0</v>
      </c>
      <c r="N31" s="15">
        <f>E31*0.115+99.88</f>
        <v>715.13</v>
      </c>
      <c r="O31" s="15">
        <f t="shared" si="8"/>
        <v>1303.33</v>
      </c>
      <c r="P31" s="18">
        <f t="shared" si="9"/>
        <v>4046.67</v>
      </c>
      <c r="Q31" s="10">
        <v>256.68</v>
      </c>
      <c r="R31" s="10">
        <v>1070</v>
      </c>
      <c r="S31" s="35">
        <f t="shared" si="10"/>
        <v>1326.68</v>
      </c>
    </row>
    <row r="32" spans="2:19" x14ac:dyDescent="0.25">
      <c r="B32" t="s">
        <v>125</v>
      </c>
      <c r="C32" t="s">
        <v>104</v>
      </c>
      <c r="D32" t="s">
        <v>78</v>
      </c>
      <c r="E32" s="15">
        <v>5350</v>
      </c>
      <c r="F32" s="29">
        <v>15</v>
      </c>
      <c r="G32" s="15"/>
      <c r="H32" s="15"/>
      <c r="I32" s="15">
        <f t="shared" si="7"/>
        <v>5350</v>
      </c>
      <c r="J32" s="15">
        <v>0</v>
      </c>
      <c r="K32" s="15">
        <v>588.20000000000005</v>
      </c>
      <c r="L32" s="15">
        <f t="shared" si="11"/>
        <v>588.20000000000005</v>
      </c>
      <c r="M32" s="15">
        <v>0</v>
      </c>
      <c r="N32" s="15">
        <f t="shared" ref="N32:N39" si="12">E32*0.115+93.63</f>
        <v>708.88</v>
      </c>
      <c r="O32" s="15">
        <f t="shared" si="8"/>
        <v>1297.08</v>
      </c>
      <c r="P32" s="18">
        <f t="shared" si="9"/>
        <v>4052.92</v>
      </c>
      <c r="Q32" s="10">
        <v>256.68</v>
      </c>
      <c r="R32" s="10">
        <v>1070</v>
      </c>
      <c r="S32" s="35">
        <f t="shared" si="10"/>
        <v>1326.68</v>
      </c>
    </row>
    <row r="33" spans="2:19" x14ac:dyDescent="0.25">
      <c r="B33" t="s">
        <v>126</v>
      </c>
      <c r="C33" t="s">
        <v>94</v>
      </c>
      <c r="D33" t="s">
        <v>81</v>
      </c>
      <c r="E33" s="15">
        <v>5350</v>
      </c>
      <c r="F33" s="29">
        <v>15</v>
      </c>
      <c r="G33" s="15">
        <v>8.49</v>
      </c>
      <c r="H33" s="15"/>
      <c r="I33" s="15">
        <f t="shared" si="7"/>
        <v>5341.51</v>
      </c>
      <c r="J33" s="15">
        <v>0</v>
      </c>
      <c r="K33" s="15">
        <v>588.20000000000005</v>
      </c>
      <c r="L33" s="15">
        <f t="shared" si="11"/>
        <v>588.20000000000005</v>
      </c>
      <c r="M33" s="15">
        <v>0</v>
      </c>
      <c r="N33" s="15">
        <f t="shared" si="12"/>
        <v>708.88</v>
      </c>
      <c r="O33" s="15">
        <f t="shared" si="8"/>
        <v>1297.08</v>
      </c>
      <c r="P33" s="18">
        <f t="shared" si="9"/>
        <v>4044.4300000000003</v>
      </c>
      <c r="Q33" s="10">
        <v>256.68</v>
      </c>
      <c r="R33" s="10">
        <v>1070</v>
      </c>
      <c r="S33" s="35">
        <f t="shared" si="10"/>
        <v>1326.68</v>
      </c>
    </row>
    <row r="34" spans="2:19" x14ac:dyDescent="0.25">
      <c r="B34" t="s">
        <v>127</v>
      </c>
      <c r="C34" t="s">
        <v>98</v>
      </c>
      <c r="D34" t="s">
        <v>81</v>
      </c>
      <c r="E34" s="15">
        <v>5350</v>
      </c>
      <c r="F34" s="29">
        <v>15</v>
      </c>
      <c r="G34" s="15"/>
      <c r="H34" s="15"/>
      <c r="I34" s="15">
        <f t="shared" si="7"/>
        <v>5350</v>
      </c>
      <c r="J34" s="15">
        <v>0</v>
      </c>
      <c r="K34" s="15">
        <v>588.20000000000005</v>
      </c>
      <c r="L34" s="15">
        <f t="shared" si="11"/>
        <v>588.20000000000005</v>
      </c>
      <c r="M34" s="15">
        <v>0</v>
      </c>
      <c r="N34" s="15">
        <f t="shared" si="12"/>
        <v>708.88</v>
      </c>
      <c r="O34" s="15">
        <f t="shared" si="8"/>
        <v>1297.08</v>
      </c>
      <c r="P34" s="18">
        <f t="shared" si="9"/>
        <v>4052.92</v>
      </c>
      <c r="Q34" s="10">
        <v>256.68</v>
      </c>
      <c r="R34" s="10">
        <v>1070</v>
      </c>
      <c r="S34" s="35">
        <f t="shared" si="10"/>
        <v>1326.68</v>
      </c>
    </row>
    <row r="35" spans="2:19" x14ac:dyDescent="0.25">
      <c r="B35" t="s">
        <v>128</v>
      </c>
      <c r="C35" t="s">
        <v>101</v>
      </c>
      <c r="D35" t="s">
        <v>81</v>
      </c>
      <c r="E35" s="15">
        <v>5350</v>
      </c>
      <c r="F35" s="29">
        <v>15</v>
      </c>
      <c r="G35" s="15"/>
      <c r="H35" s="15"/>
      <c r="I35" s="15">
        <f t="shared" si="7"/>
        <v>5350</v>
      </c>
      <c r="J35" s="15">
        <v>0</v>
      </c>
      <c r="K35" s="15">
        <v>588.20000000000005</v>
      </c>
      <c r="L35" s="15">
        <f t="shared" si="11"/>
        <v>588.20000000000005</v>
      </c>
      <c r="M35" s="15">
        <v>0</v>
      </c>
      <c r="N35" s="15">
        <f t="shared" si="12"/>
        <v>708.88</v>
      </c>
      <c r="O35" s="15">
        <f t="shared" si="8"/>
        <v>1297.08</v>
      </c>
      <c r="P35" s="18">
        <f t="shared" si="9"/>
        <v>4052.92</v>
      </c>
      <c r="Q35" s="10">
        <v>256.68</v>
      </c>
      <c r="R35" s="10">
        <v>1070</v>
      </c>
      <c r="S35" s="35">
        <f t="shared" si="10"/>
        <v>1326.68</v>
      </c>
    </row>
    <row r="36" spans="2:19" x14ac:dyDescent="0.25">
      <c r="B36" t="s">
        <v>129</v>
      </c>
      <c r="C36" t="s">
        <v>95</v>
      </c>
      <c r="D36" t="s">
        <v>82</v>
      </c>
      <c r="E36" s="15">
        <v>5350</v>
      </c>
      <c r="F36" s="29">
        <v>15</v>
      </c>
      <c r="G36" s="15"/>
      <c r="H36" s="15"/>
      <c r="I36" s="15">
        <f t="shared" si="7"/>
        <v>5350</v>
      </c>
      <c r="J36" s="15">
        <v>0</v>
      </c>
      <c r="K36" s="15">
        <v>588.20000000000005</v>
      </c>
      <c r="L36" s="15">
        <f t="shared" si="11"/>
        <v>588.20000000000005</v>
      </c>
      <c r="M36" s="15">
        <v>0</v>
      </c>
      <c r="N36" s="15">
        <f t="shared" si="12"/>
        <v>708.88</v>
      </c>
      <c r="O36" s="15">
        <f t="shared" si="8"/>
        <v>1297.08</v>
      </c>
      <c r="P36" s="18">
        <f t="shared" si="9"/>
        <v>4052.92</v>
      </c>
      <c r="Q36" s="10">
        <v>256.68</v>
      </c>
      <c r="R36" s="10">
        <v>1070</v>
      </c>
      <c r="S36" s="35">
        <f t="shared" si="10"/>
        <v>1326.68</v>
      </c>
    </row>
    <row r="37" spans="2:19" x14ac:dyDescent="0.25">
      <c r="B37" t="s">
        <v>130</v>
      </c>
      <c r="C37" t="s">
        <v>102</v>
      </c>
      <c r="D37" t="s">
        <v>82</v>
      </c>
      <c r="E37" s="15">
        <v>5350</v>
      </c>
      <c r="F37" s="29">
        <v>15</v>
      </c>
      <c r="G37" s="15"/>
      <c r="H37" s="15"/>
      <c r="I37" s="15">
        <f t="shared" si="7"/>
        <v>5350</v>
      </c>
      <c r="J37" s="15">
        <v>0</v>
      </c>
      <c r="K37" s="15">
        <v>588.20000000000005</v>
      </c>
      <c r="L37" s="15">
        <f t="shared" si="11"/>
        <v>588.20000000000005</v>
      </c>
      <c r="M37" s="15">
        <v>0</v>
      </c>
      <c r="N37" s="15">
        <f t="shared" si="12"/>
        <v>708.88</v>
      </c>
      <c r="O37" s="15">
        <f t="shared" si="8"/>
        <v>1297.08</v>
      </c>
      <c r="P37" s="18">
        <f t="shared" si="9"/>
        <v>4052.92</v>
      </c>
      <c r="Q37" s="10">
        <v>256.68</v>
      </c>
      <c r="R37" s="10">
        <v>1070</v>
      </c>
      <c r="S37" s="35">
        <f t="shared" si="10"/>
        <v>1326.68</v>
      </c>
    </row>
    <row r="38" spans="2:19" x14ac:dyDescent="0.25">
      <c r="B38" t="s">
        <v>131</v>
      </c>
      <c r="C38" t="s">
        <v>85</v>
      </c>
      <c r="D38" t="s">
        <v>83</v>
      </c>
      <c r="E38" s="15">
        <v>5350</v>
      </c>
      <c r="F38" s="29">
        <v>15</v>
      </c>
      <c r="G38" s="15"/>
      <c r="H38" s="15"/>
      <c r="I38" s="15">
        <f t="shared" si="7"/>
        <v>5350</v>
      </c>
      <c r="J38" s="15">
        <v>0</v>
      </c>
      <c r="K38" s="15">
        <v>588.20000000000005</v>
      </c>
      <c r="L38" s="15">
        <f t="shared" si="11"/>
        <v>588.20000000000005</v>
      </c>
      <c r="M38" s="15">
        <v>0</v>
      </c>
      <c r="N38" s="15">
        <f t="shared" si="12"/>
        <v>708.88</v>
      </c>
      <c r="O38" s="15">
        <f t="shared" si="8"/>
        <v>1297.08</v>
      </c>
      <c r="P38" s="18">
        <f t="shared" si="9"/>
        <v>4052.92</v>
      </c>
      <c r="Q38" s="10">
        <v>256.68</v>
      </c>
      <c r="R38" s="10">
        <v>1070</v>
      </c>
      <c r="S38" s="35">
        <f t="shared" si="10"/>
        <v>1326.68</v>
      </c>
    </row>
    <row r="39" spans="2:19" x14ac:dyDescent="0.25">
      <c r="B39" t="s">
        <v>132</v>
      </c>
      <c r="C39" t="s">
        <v>103</v>
      </c>
      <c r="D39" t="s">
        <v>83</v>
      </c>
      <c r="E39" s="15">
        <v>5350</v>
      </c>
      <c r="F39" s="29">
        <v>15</v>
      </c>
      <c r="G39" s="15"/>
      <c r="H39" s="15"/>
      <c r="I39" s="15">
        <f t="shared" si="7"/>
        <v>5350</v>
      </c>
      <c r="J39" s="15">
        <v>0</v>
      </c>
      <c r="K39" s="15">
        <v>588.20000000000005</v>
      </c>
      <c r="L39" s="15">
        <f t="shared" si="11"/>
        <v>588.20000000000005</v>
      </c>
      <c r="M39" s="15">
        <v>0</v>
      </c>
      <c r="N39" s="15">
        <f t="shared" si="12"/>
        <v>708.88</v>
      </c>
      <c r="O39" s="15">
        <f t="shared" si="8"/>
        <v>1297.08</v>
      </c>
      <c r="P39" s="18">
        <f t="shared" si="9"/>
        <v>4052.92</v>
      </c>
      <c r="Q39" s="10">
        <v>256.68</v>
      </c>
      <c r="R39" s="10">
        <v>1070</v>
      </c>
      <c r="S39" s="35">
        <f t="shared" si="10"/>
        <v>1326.68</v>
      </c>
    </row>
    <row r="40" spans="2:19" x14ac:dyDescent="0.25">
      <c r="B40" s="2" t="s">
        <v>26</v>
      </c>
      <c r="C40" s="30"/>
      <c r="D40" s="30"/>
      <c r="E40" s="34">
        <f>SUM(E29:E39)</f>
        <v>58850</v>
      </c>
      <c r="F40" s="34"/>
      <c r="G40" s="34">
        <f>SUM(G29:G39)</f>
        <v>14.43</v>
      </c>
      <c r="H40" s="34">
        <f>SUM(H29:H39)</f>
        <v>0</v>
      </c>
      <c r="I40" s="34">
        <f>SUM(I29:I39)</f>
        <v>58835.57</v>
      </c>
      <c r="J40" s="34">
        <f t="shared" ref="J40:S40" si="13">SUM(J29:J39)</f>
        <v>0</v>
      </c>
      <c r="K40" s="34">
        <f t="shared" si="13"/>
        <v>6470.1999999999989</v>
      </c>
      <c r="L40" s="34">
        <f t="shared" si="13"/>
        <v>6470.1999999999989</v>
      </c>
      <c r="M40" s="34">
        <f t="shared" si="13"/>
        <v>0</v>
      </c>
      <c r="N40" s="34">
        <f t="shared" si="13"/>
        <v>7804.0300000000007</v>
      </c>
      <c r="O40" s="34">
        <f t="shared" si="13"/>
        <v>14274.23</v>
      </c>
      <c r="P40" s="34">
        <f t="shared" si="13"/>
        <v>44561.339999999989</v>
      </c>
      <c r="Q40" s="34">
        <f t="shared" si="13"/>
        <v>2823.4799999999996</v>
      </c>
      <c r="R40" s="34">
        <f t="shared" si="13"/>
        <v>11770</v>
      </c>
      <c r="S40" s="34">
        <f t="shared" si="13"/>
        <v>14593.480000000001</v>
      </c>
    </row>
    <row r="41" spans="2:19" x14ac:dyDescent="0.25"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2:19" x14ac:dyDescent="0.25">
      <c r="B42" s="2" t="s">
        <v>140</v>
      </c>
      <c r="C42" s="2" t="s">
        <v>64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2:19" x14ac:dyDescent="0.25">
      <c r="B43" t="s">
        <v>133</v>
      </c>
      <c r="C43" t="s">
        <v>99</v>
      </c>
      <c r="D43" t="s">
        <v>80</v>
      </c>
      <c r="E43" s="15">
        <v>5350</v>
      </c>
      <c r="F43" s="29">
        <v>15</v>
      </c>
      <c r="G43" s="15"/>
      <c r="H43" s="15"/>
      <c r="I43" s="15">
        <f>E43-G43</f>
        <v>5350</v>
      </c>
      <c r="J43" s="15">
        <v>0</v>
      </c>
      <c r="K43" s="15">
        <v>588.20000000000005</v>
      </c>
      <c r="L43" s="15">
        <f>K43-J43</f>
        <v>588.20000000000005</v>
      </c>
      <c r="M43" s="15">
        <v>0</v>
      </c>
      <c r="N43" s="15">
        <f>I43*0.115+101.23</f>
        <v>716.48</v>
      </c>
      <c r="O43" s="15">
        <f>SUM(L43:N43)</f>
        <v>1304.68</v>
      </c>
      <c r="P43" s="18">
        <f>I43-O43</f>
        <v>4045.3199999999997</v>
      </c>
      <c r="Q43" s="10">
        <v>256.68</v>
      </c>
      <c r="R43" s="10">
        <v>1070</v>
      </c>
      <c r="S43" s="35">
        <f t="shared" ref="S43:S44" si="14">Q43+R43</f>
        <v>1326.68</v>
      </c>
    </row>
    <row r="44" spans="2:19" x14ac:dyDescent="0.25">
      <c r="B44" t="s">
        <v>152</v>
      </c>
      <c r="C44" t="s">
        <v>92</v>
      </c>
      <c r="D44" t="s">
        <v>80</v>
      </c>
      <c r="E44" s="15">
        <v>5350</v>
      </c>
      <c r="F44" s="29">
        <v>15</v>
      </c>
      <c r="G44" s="15"/>
      <c r="H44" s="15"/>
      <c r="I44" s="15">
        <f>E44-G44</f>
        <v>5350</v>
      </c>
      <c r="J44" s="15">
        <v>0</v>
      </c>
      <c r="K44" s="15">
        <v>588.20000000000005</v>
      </c>
      <c r="L44" s="15">
        <v>588.20000000000005</v>
      </c>
      <c r="M44" s="15">
        <v>0</v>
      </c>
      <c r="N44" s="15">
        <f>I44*0.115</f>
        <v>615.25</v>
      </c>
      <c r="O44" s="15">
        <f>SUM(L44:N44)</f>
        <v>1203.45</v>
      </c>
      <c r="P44" s="18">
        <f>I44-O44</f>
        <v>4146.55</v>
      </c>
      <c r="Q44" s="10">
        <v>256.68</v>
      </c>
      <c r="R44" s="10">
        <v>1070</v>
      </c>
      <c r="S44" s="35">
        <f t="shared" si="14"/>
        <v>1326.68</v>
      </c>
    </row>
    <row r="45" spans="2:19" x14ac:dyDescent="0.25">
      <c r="B45" s="2" t="s">
        <v>26</v>
      </c>
      <c r="C45" s="30"/>
      <c r="D45" s="30"/>
      <c r="E45" s="34">
        <f>E43+E44</f>
        <v>10700</v>
      </c>
      <c r="F45" s="34"/>
      <c r="G45" s="34">
        <f>G43+G44</f>
        <v>0</v>
      </c>
      <c r="H45" s="34">
        <f>H43+H44</f>
        <v>0</v>
      </c>
      <c r="I45" s="34">
        <f t="shared" ref="I45:S45" si="15">I43+I44</f>
        <v>10700</v>
      </c>
      <c r="J45" s="34">
        <f t="shared" si="15"/>
        <v>0</v>
      </c>
      <c r="K45" s="34">
        <f t="shared" si="15"/>
        <v>1176.4000000000001</v>
      </c>
      <c r="L45" s="34">
        <f t="shared" si="15"/>
        <v>1176.4000000000001</v>
      </c>
      <c r="M45" s="34">
        <f t="shared" si="15"/>
        <v>0</v>
      </c>
      <c r="N45" s="34">
        <f t="shared" si="15"/>
        <v>1331.73</v>
      </c>
      <c r="O45" s="34">
        <f t="shared" si="15"/>
        <v>2508.13</v>
      </c>
      <c r="P45" s="34">
        <f t="shared" si="15"/>
        <v>8191.87</v>
      </c>
      <c r="Q45" s="34">
        <f t="shared" si="15"/>
        <v>513.36</v>
      </c>
      <c r="R45" s="34">
        <f t="shared" si="15"/>
        <v>2140</v>
      </c>
      <c r="S45" s="34">
        <f t="shared" si="15"/>
        <v>2653.36</v>
      </c>
    </row>
    <row r="46" spans="2:19" x14ac:dyDescent="0.25">
      <c r="B46" s="2"/>
      <c r="E46" s="15"/>
      <c r="F46" s="15"/>
      <c r="G46" s="15"/>
      <c r="H46" s="15"/>
      <c r="I46" s="16"/>
      <c r="J46" s="16"/>
      <c r="K46" s="16"/>
      <c r="L46" s="16"/>
      <c r="M46" s="16"/>
      <c r="N46" s="16"/>
      <c r="O46" s="16"/>
      <c r="P46" s="16"/>
      <c r="Q46" s="8"/>
      <c r="R46" s="8"/>
      <c r="S46" s="8"/>
    </row>
    <row r="47" spans="2:19" x14ac:dyDescent="0.25">
      <c r="B47" s="2" t="s">
        <v>161</v>
      </c>
      <c r="C47" s="2" t="s">
        <v>162</v>
      </c>
      <c r="E47" s="15"/>
      <c r="F47" s="15"/>
      <c r="G47" s="15"/>
      <c r="H47" s="15"/>
      <c r="I47" s="16"/>
      <c r="J47" s="16"/>
      <c r="K47" s="16"/>
      <c r="L47" s="16"/>
      <c r="M47" s="16"/>
      <c r="N47" s="16"/>
      <c r="O47" s="16"/>
      <c r="P47" s="16"/>
      <c r="Q47" s="8"/>
      <c r="R47" s="8"/>
      <c r="S47" s="8"/>
    </row>
    <row r="48" spans="2:19" x14ac:dyDescent="0.25">
      <c r="B48" t="s">
        <v>163</v>
      </c>
      <c r="C48" s="11" t="s">
        <v>42</v>
      </c>
      <c r="D48" t="s">
        <v>2</v>
      </c>
      <c r="E48" s="15">
        <v>10000</v>
      </c>
      <c r="F48" s="29">
        <v>15</v>
      </c>
      <c r="G48" s="15"/>
      <c r="H48" s="15"/>
      <c r="I48" s="15">
        <f>E48-G48</f>
        <v>10000</v>
      </c>
      <c r="J48" s="15">
        <v>0</v>
      </c>
      <c r="K48" s="15">
        <v>1581.44</v>
      </c>
      <c r="L48" s="15">
        <f>K48-J48</f>
        <v>1581.44</v>
      </c>
      <c r="M48" s="15">
        <v>0</v>
      </c>
      <c r="N48" s="15">
        <f>E48*0.115+175</f>
        <v>1325</v>
      </c>
      <c r="O48" s="15">
        <f>SUM(L48:N48)</f>
        <v>2906.44</v>
      </c>
      <c r="P48" s="18">
        <f>I48-O48</f>
        <v>7093.5599999999995</v>
      </c>
      <c r="Q48" s="10">
        <v>285.52999999999997</v>
      </c>
      <c r="R48" s="10">
        <v>2000</v>
      </c>
      <c r="S48" s="35">
        <f>Q48+R48</f>
        <v>2285.5299999999997</v>
      </c>
    </row>
    <row r="49" spans="2:19" x14ac:dyDescent="0.25">
      <c r="B49" s="2" t="s">
        <v>26</v>
      </c>
      <c r="E49" s="34">
        <f>E48</f>
        <v>10000</v>
      </c>
      <c r="F49" s="34"/>
      <c r="G49" s="34">
        <f>G48</f>
        <v>0</v>
      </c>
      <c r="H49" s="34">
        <f>H48</f>
        <v>0</v>
      </c>
      <c r="I49" s="34">
        <f t="shared" ref="I49:S49" si="16">I48</f>
        <v>10000</v>
      </c>
      <c r="J49" s="34">
        <f t="shared" si="16"/>
        <v>0</v>
      </c>
      <c r="K49" s="34">
        <f t="shared" si="16"/>
        <v>1581.44</v>
      </c>
      <c r="L49" s="34">
        <f t="shared" si="16"/>
        <v>1581.44</v>
      </c>
      <c r="M49" s="34">
        <f t="shared" si="16"/>
        <v>0</v>
      </c>
      <c r="N49" s="34">
        <f t="shared" si="16"/>
        <v>1325</v>
      </c>
      <c r="O49" s="34">
        <f t="shared" si="16"/>
        <v>2906.44</v>
      </c>
      <c r="P49" s="34">
        <f t="shared" si="16"/>
        <v>7093.5599999999995</v>
      </c>
      <c r="Q49" s="34">
        <f t="shared" si="16"/>
        <v>285.52999999999997</v>
      </c>
      <c r="R49" s="34">
        <f t="shared" si="16"/>
        <v>2000</v>
      </c>
      <c r="S49" s="34">
        <f t="shared" si="16"/>
        <v>2285.5299999999997</v>
      </c>
    </row>
    <row r="50" spans="2:19" x14ac:dyDescent="0.25">
      <c r="B50" s="2"/>
      <c r="E50" s="15"/>
      <c r="F50" s="15"/>
      <c r="G50" s="15"/>
      <c r="H50" s="15"/>
      <c r="I50" s="16"/>
      <c r="J50" s="16"/>
      <c r="K50" s="16"/>
      <c r="L50" s="16"/>
      <c r="M50" s="16"/>
      <c r="N50" s="16"/>
      <c r="O50" s="16"/>
      <c r="P50" s="16"/>
      <c r="Q50" s="8"/>
      <c r="R50" s="8"/>
      <c r="S50" s="8"/>
    </row>
    <row r="52" spans="2:19" ht="18.75" x14ac:dyDescent="0.3">
      <c r="D52" s="4" t="s">
        <v>105</v>
      </c>
      <c r="E52" s="17">
        <f>E9+E20+E26+E40+E45+E49</f>
        <v>158954.95000000001</v>
      </c>
      <c r="F52" s="17"/>
      <c r="G52" s="17">
        <f>G9+G20+G26+G40+G45+G49</f>
        <v>14.43</v>
      </c>
      <c r="H52" s="17">
        <f>H9+H20+H26+H40+H45+H49</f>
        <v>5880.24</v>
      </c>
      <c r="I52" s="17">
        <f t="shared" ref="I52:S52" si="17">I9+I20+I26+I40+I45+I49</f>
        <v>164820.76</v>
      </c>
      <c r="J52" s="17">
        <f t="shared" si="17"/>
        <v>274.08999999999997</v>
      </c>
      <c r="K52" s="17">
        <f t="shared" si="17"/>
        <v>19499.7</v>
      </c>
      <c r="L52" s="17">
        <f t="shared" si="17"/>
        <v>19225.61</v>
      </c>
      <c r="M52" s="17">
        <f t="shared" si="17"/>
        <v>3000</v>
      </c>
      <c r="N52" s="17">
        <f t="shared" si="17"/>
        <v>20028.199250000001</v>
      </c>
      <c r="O52" s="17">
        <f t="shared" si="17"/>
        <v>42253.809249999998</v>
      </c>
      <c r="P52" s="17">
        <f t="shared" si="17"/>
        <v>122566.95074999999</v>
      </c>
      <c r="Q52" s="17">
        <f t="shared" si="17"/>
        <v>7020.3799999999992</v>
      </c>
      <c r="R52" s="17">
        <f t="shared" si="17"/>
        <v>30720.989999999998</v>
      </c>
      <c r="S52" s="17">
        <f t="shared" si="17"/>
        <v>37741.370000000003</v>
      </c>
    </row>
    <row r="56" spans="2:19" ht="15.75" thickBot="1" x14ac:dyDescent="0.3">
      <c r="E56" s="375"/>
      <c r="F56" s="375"/>
      <c r="N56" s="375"/>
      <c r="O56" s="375"/>
    </row>
    <row r="58" spans="2:19" x14ac:dyDescent="0.25">
      <c r="E58" s="377" t="s">
        <v>146</v>
      </c>
      <c r="F58" s="377"/>
      <c r="N58" s="377" t="s">
        <v>157</v>
      </c>
      <c r="O58" s="377"/>
    </row>
  </sheetData>
  <mergeCells count="6">
    <mergeCell ref="C3:D3"/>
    <mergeCell ref="E4:S4"/>
    <mergeCell ref="E56:F56"/>
    <mergeCell ref="N56:O56"/>
    <mergeCell ref="E58:F58"/>
    <mergeCell ref="N58:O58"/>
  </mergeCells>
  <pageMargins left="0.70866141732283472" right="0.70866141732283472" top="0.74803149606299213" bottom="0.74803149606299213" header="0.31496062992125984" footer="0.31496062992125984"/>
  <pageSetup paperSize="300" scale="42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S62"/>
  <sheetViews>
    <sheetView topLeftCell="A25" zoomScale="85" zoomScaleNormal="85" workbookViewId="0">
      <selection activeCell="P31" sqref="P31"/>
    </sheetView>
  </sheetViews>
  <sheetFormatPr baseColWidth="10" defaultRowHeight="15" x14ac:dyDescent="0.25"/>
  <cols>
    <col min="1" max="1" width="0.7109375" customWidth="1"/>
    <col min="2" max="2" width="16.5703125" customWidth="1"/>
    <col min="3" max="3" width="34.140625" customWidth="1"/>
    <col min="4" max="4" width="29.28515625" customWidth="1"/>
    <col min="5" max="5" width="18.42578125" customWidth="1"/>
    <col min="8" max="8" width="11.42578125" customWidth="1"/>
    <col min="9" max="9" width="21" customWidth="1"/>
    <col min="10" max="10" width="11.42578125" customWidth="1"/>
    <col min="11" max="11" width="12.85546875" customWidth="1"/>
    <col min="12" max="12" width="13.42578125" customWidth="1"/>
    <col min="13" max="13" width="11.42578125" hidden="1" customWidth="1"/>
    <col min="14" max="14" width="14" customWidth="1"/>
    <col min="15" max="15" width="18.5703125" customWidth="1"/>
    <col min="16" max="16" width="16.85546875" customWidth="1"/>
    <col min="17" max="17" width="14" customWidth="1"/>
    <col min="18" max="18" width="15.7109375" customWidth="1"/>
    <col min="19" max="19" width="17" customWidth="1"/>
  </cols>
  <sheetData>
    <row r="3" spans="2:19" ht="18.75" x14ac:dyDescent="0.25">
      <c r="C3" s="372" t="s">
        <v>173</v>
      </c>
      <c r="D3" s="372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2:19" ht="15.75" thickBot="1" x14ac:dyDescent="0.3">
      <c r="E4" s="367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9"/>
    </row>
    <row r="5" spans="2:19" ht="58.5" thickTop="1" thickBot="1" x14ac:dyDescent="0.3">
      <c r="B5" s="31" t="s">
        <v>9</v>
      </c>
      <c r="C5" s="32" t="s">
        <v>10</v>
      </c>
      <c r="D5" s="32" t="s">
        <v>0</v>
      </c>
      <c r="E5" s="39" t="s">
        <v>11</v>
      </c>
      <c r="F5" s="39" t="s">
        <v>150</v>
      </c>
      <c r="G5" s="40" t="s">
        <v>169</v>
      </c>
      <c r="H5" s="39" t="s">
        <v>170</v>
      </c>
      <c r="I5" s="39" t="s">
        <v>12</v>
      </c>
      <c r="J5" s="39" t="s">
        <v>107</v>
      </c>
      <c r="K5" s="39" t="s">
        <v>143</v>
      </c>
      <c r="L5" s="39" t="s">
        <v>13</v>
      </c>
      <c r="M5" s="39" t="s">
        <v>171</v>
      </c>
      <c r="N5" s="39" t="s">
        <v>16</v>
      </c>
      <c r="O5" s="39" t="s">
        <v>17</v>
      </c>
      <c r="P5" s="39" t="s">
        <v>72</v>
      </c>
      <c r="Q5" s="32" t="s">
        <v>8</v>
      </c>
      <c r="R5" s="32" t="s">
        <v>18</v>
      </c>
      <c r="S5" s="41" t="s">
        <v>73</v>
      </c>
    </row>
    <row r="6" spans="2:19" ht="15.75" thickTop="1" x14ac:dyDescent="0.25">
      <c r="B6" s="2" t="s">
        <v>19</v>
      </c>
      <c r="C6" s="2" t="s">
        <v>20</v>
      </c>
      <c r="D6" s="2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2:19" x14ac:dyDescent="0.25">
      <c r="B7" t="s">
        <v>21</v>
      </c>
      <c r="C7" s="11" t="s">
        <v>22</v>
      </c>
      <c r="D7" t="s">
        <v>25</v>
      </c>
      <c r="E7" s="20">
        <v>16954.95</v>
      </c>
      <c r="F7" s="29">
        <v>15</v>
      </c>
      <c r="G7" s="15"/>
      <c r="H7" s="15"/>
      <c r="I7" s="15">
        <f>E7-G7</f>
        <v>16954.95</v>
      </c>
      <c r="J7" s="15">
        <v>0</v>
      </c>
      <c r="K7" s="15">
        <v>3246.93</v>
      </c>
      <c r="L7" s="15">
        <f>K7-J7</f>
        <v>3246.93</v>
      </c>
      <c r="M7" s="15">
        <v>0</v>
      </c>
      <c r="N7" s="15">
        <f>E7*0.115+296.71</f>
        <v>2246.52925</v>
      </c>
      <c r="O7" s="15">
        <f>SUM(L7:N7)</f>
        <v>5493.4592499999999</v>
      </c>
      <c r="P7" s="18">
        <f>I7-O7</f>
        <v>11461.490750000001</v>
      </c>
      <c r="Q7" s="10">
        <v>328.67</v>
      </c>
      <c r="R7" s="10">
        <v>3390.99</v>
      </c>
      <c r="S7" s="35">
        <f>SUM(Q7:R7)</f>
        <v>3719.66</v>
      </c>
    </row>
    <row r="8" spans="2:19" x14ac:dyDescent="0.25">
      <c r="B8" t="s">
        <v>23</v>
      </c>
      <c r="C8" s="11" t="s">
        <v>24</v>
      </c>
      <c r="D8" t="s">
        <v>3</v>
      </c>
      <c r="E8" s="15">
        <v>4850</v>
      </c>
      <c r="F8" s="29">
        <v>15</v>
      </c>
      <c r="G8" s="15"/>
      <c r="H8" s="15"/>
      <c r="I8" s="15">
        <f>E8-G8</f>
        <v>4850</v>
      </c>
      <c r="J8" s="15">
        <v>0</v>
      </c>
      <c r="K8" s="15">
        <v>491.69</v>
      </c>
      <c r="L8" s="15">
        <f>K8-J8</f>
        <v>491.69</v>
      </c>
      <c r="M8" s="15">
        <v>0</v>
      </c>
      <c r="N8" s="15">
        <f>E8*0.115+84.88</f>
        <v>642.63</v>
      </c>
      <c r="O8" s="15">
        <f>SUM(L8:N8)</f>
        <v>1134.32</v>
      </c>
      <c r="P8" s="18">
        <f>I8-O8</f>
        <v>3715.6800000000003</v>
      </c>
      <c r="Q8" s="10">
        <v>253.58</v>
      </c>
      <c r="R8" s="10">
        <v>970</v>
      </c>
      <c r="S8" s="35">
        <f t="shared" ref="S8" si="0">SUM(Q8:R8)</f>
        <v>1223.58</v>
      </c>
    </row>
    <row r="9" spans="2:19" x14ac:dyDescent="0.25">
      <c r="B9" s="7" t="s">
        <v>26</v>
      </c>
      <c r="C9" s="30"/>
      <c r="D9" s="30"/>
      <c r="E9" s="34">
        <f>SUM(E7:E8)</f>
        <v>21804.95</v>
      </c>
      <c r="F9" s="34"/>
      <c r="G9" s="34">
        <f t="shared" ref="G9:S9" si="1">SUM(G7:G8)</f>
        <v>0</v>
      </c>
      <c r="H9" s="34">
        <f t="shared" si="1"/>
        <v>0</v>
      </c>
      <c r="I9" s="34">
        <f t="shared" si="1"/>
        <v>21804.95</v>
      </c>
      <c r="J9" s="34">
        <f t="shared" si="1"/>
        <v>0</v>
      </c>
      <c r="K9" s="34">
        <f t="shared" si="1"/>
        <v>3738.62</v>
      </c>
      <c r="L9" s="34">
        <f t="shared" si="1"/>
        <v>3738.62</v>
      </c>
      <c r="M9" s="34">
        <f t="shared" si="1"/>
        <v>0</v>
      </c>
      <c r="N9" s="34">
        <f t="shared" si="1"/>
        <v>2889.1592500000002</v>
      </c>
      <c r="O9" s="34">
        <f t="shared" si="1"/>
        <v>6627.7792499999996</v>
      </c>
      <c r="P9" s="34">
        <f t="shared" si="1"/>
        <v>15177.170750000001</v>
      </c>
      <c r="Q9" s="34">
        <f t="shared" si="1"/>
        <v>582.25</v>
      </c>
      <c r="R9" s="34">
        <f t="shared" si="1"/>
        <v>4360.99</v>
      </c>
      <c r="S9" s="34">
        <f t="shared" si="1"/>
        <v>4943.24</v>
      </c>
    </row>
    <row r="10" spans="2:19" x14ac:dyDescent="0.25"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2:19" x14ac:dyDescent="0.25">
      <c r="B11" s="2" t="s">
        <v>27</v>
      </c>
      <c r="C11" s="2" t="s">
        <v>28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2:19" x14ac:dyDescent="0.25">
      <c r="B12" t="s">
        <v>32</v>
      </c>
      <c r="C12" s="11" t="s">
        <v>37</v>
      </c>
      <c r="D12" t="s">
        <v>1</v>
      </c>
      <c r="E12" s="15">
        <v>10000</v>
      </c>
      <c r="F12" s="29">
        <v>15</v>
      </c>
      <c r="G12" s="15"/>
      <c r="H12" s="15"/>
      <c r="I12" s="15">
        <f>E12-G12</f>
        <v>10000</v>
      </c>
      <c r="J12" s="15">
        <v>0</v>
      </c>
      <c r="K12" s="15">
        <v>1581.44</v>
      </c>
      <c r="L12" s="15">
        <f>K12-J12</f>
        <v>1581.44</v>
      </c>
      <c r="M12" s="15">
        <v>0</v>
      </c>
      <c r="N12" s="15">
        <f>E12*0.115+175</f>
        <v>1325</v>
      </c>
      <c r="O12" s="15">
        <f>SUM(L12:N12)</f>
        <v>2906.44</v>
      </c>
      <c r="P12" s="18">
        <f>I12-O12</f>
        <v>7093.5599999999995</v>
      </c>
      <c r="Q12" s="10">
        <v>285.52999999999997</v>
      </c>
      <c r="R12" s="10">
        <v>2000</v>
      </c>
      <c r="S12" s="35">
        <f>Q12+R12</f>
        <v>2285.5299999999997</v>
      </c>
    </row>
    <row r="13" spans="2:19" x14ac:dyDescent="0.25">
      <c r="B13" t="s">
        <v>33</v>
      </c>
      <c r="C13" s="11" t="s">
        <v>38</v>
      </c>
      <c r="D13" t="s">
        <v>74</v>
      </c>
      <c r="E13" s="15">
        <v>5350</v>
      </c>
      <c r="F13" s="29">
        <v>15</v>
      </c>
      <c r="G13" s="19">
        <v>6.79</v>
      </c>
      <c r="H13" s="19"/>
      <c r="I13" s="15">
        <f>E13-G13</f>
        <v>5343.21</v>
      </c>
      <c r="J13" s="15">
        <v>0</v>
      </c>
      <c r="K13" s="15">
        <v>586.75</v>
      </c>
      <c r="L13" s="15">
        <f t="shared" ref="L13:L19" si="2">K13-J13</f>
        <v>586.75</v>
      </c>
      <c r="M13" s="15">
        <v>0</v>
      </c>
      <c r="N13" s="15">
        <f>E13*0.115+93.74</f>
        <v>708.99</v>
      </c>
      <c r="O13" s="15">
        <f>SUM(L13:N13)</f>
        <v>1295.74</v>
      </c>
      <c r="P13" s="18">
        <f>I13-O13</f>
        <v>4047.4700000000003</v>
      </c>
      <c r="Q13" s="10">
        <v>256.68</v>
      </c>
      <c r="R13" s="10">
        <v>1070</v>
      </c>
      <c r="S13" s="35">
        <f>Q13+R13</f>
        <v>1326.68</v>
      </c>
    </row>
    <row r="14" spans="2:19" x14ac:dyDescent="0.25">
      <c r="B14" t="s">
        <v>34</v>
      </c>
      <c r="C14" t="s">
        <v>141</v>
      </c>
      <c r="D14" t="s">
        <v>75</v>
      </c>
      <c r="E14" s="21">
        <v>0</v>
      </c>
      <c r="F14" s="29">
        <v>0</v>
      </c>
      <c r="G14" s="3"/>
      <c r="H14" s="3"/>
      <c r="I14" s="15">
        <f>E14+H14-G14</f>
        <v>0</v>
      </c>
      <c r="J14" s="3">
        <v>0</v>
      </c>
      <c r="K14" s="3">
        <v>588.20000000000005</v>
      </c>
      <c r="L14" s="15">
        <v>0</v>
      </c>
      <c r="M14" s="3"/>
      <c r="N14" s="15">
        <v>0</v>
      </c>
      <c r="O14" s="15">
        <f>L14+M14</f>
        <v>0</v>
      </c>
      <c r="P14" s="18">
        <f>I14-L14-M14</f>
        <v>0</v>
      </c>
      <c r="Q14" s="27">
        <v>0</v>
      </c>
      <c r="R14" s="10">
        <v>0</v>
      </c>
      <c r="S14" s="35">
        <f>Q14+R14</f>
        <v>0</v>
      </c>
    </row>
    <row r="15" spans="2:19" x14ac:dyDescent="0.25">
      <c r="B15" t="s">
        <v>35</v>
      </c>
      <c r="C15" t="s">
        <v>111</v>
      </c>
      <c r="D15" t="s">
        <v>77</v>
      </c>
      <c r="E15" s="15">
        <v>6000</v>
      </c>
      <c r="F15" s="29">
        <v>15</v>
      </c>
      <c r="G15" s="15"/>
      <c r="H15" s="15"/>
      <c r="I15" s="15">
        <f>E15-G15</f>
        <v>6000</v>
      </c>
      <c r="J15" s="15">
        <v>0</v>
      </c>
      <c r="K15" s="15">
        <v>727.04</v>
      </c>
      <c r="L15" s="15">
        <f t="shared" si="2"/>
        <v>727.04</v>
      </c>
      <c r="M15" s="15">
        <v>0</v>
      </c>
      <c r="N15" s="15">
        <f>E15*0.115</f>
        <v>690</v>
      </c>
      <c r="O15" s="15">
        <f>SUM(L15:N15)</f>
        <v>1417.04</v>
      </c>
      <c r="P15" s="18">
        <f>I15-O15</f>
        <v>4582.96</v>
      </c>
      <c r="Q15" s="10">
        <v>260.72000000000003</v>
      </c>
      <c r="R15" s="10">
        <v>1200</v>
      </c>
      <c r="S15" s="35">
        <f>Q15+R15</f>
        <v>1460.72</v>
      </c>
    </row>
    <row r="16" spans="2:19" x14ac:dyDescent="0.25">
      <c r="B16" t="s">
        <v>36</v>
      </c>
      <c r="C16" t="s">
        <v>86</v>
      </c>
      <c r="D16" t="s">
        <v>39</v>
      </c>
      <c r="E16" s="15">
        <v>4500</v>
      </c>
      <c r="F16" s="29">
        <v>15</v>
      </c>
      <c r="G16" s="15"/>
      <c r="H16" s="15"/>
      <c r="I16" s="15">
        <f>E16-G16</f>
        <v>4500</v>
      </c>
      <c r="J16" s="15">
        <v>0</v>
      </c>
      <c r="K16" s="15">
        <v>428.97</v>
      </c>
      <c r="L16" s="15">
        <f t="shared" si="2"/>
        <v>428.97</v>
      </c>
      <c r="M16" s="15">
        <v>0</v>
      </c>
      <c r="N16" s="15">
        <f>E16*0.115+87.5</f>
        <v>605</v>
      </c>
      <c r="O16" s="15">
        <f>SUM(L16:N16)</f>
        <v>1033.97</v>
      </c>
      <c r="P16" s="18">
        <f>I16-O16</f>
        <v>3466.0299999999997</v>
      </c>
      <c r="Q16" s="10">
        <v>251.41</v>
      </c>
      <c r="R16" s="10">
        <v>900</v>
      </c>
      <c r="S16" s="35">
        <f>Q16+R16</f>
        <v>1151.4100000000001</v>
      </c>
    </row>
    <row r="17" spans="2:19" x14ac:dyDescent="0.25">
      <c r="B17" t="s">
        <v>115</v>
      </c>
      <c r="C17" t="s">
        <v>87</v>
      </c>
      <c r="D17" t="s">
        <v>39</v>
      </c>
      <c r="E17" s="15">
        <v>4500</v>
      </c>
      <c r="F17" s="29">
        <v>14</v>
      </c>
      <c r="G17" s="15">
        <v>300</v>
      </c>
      <c r="H17" s="15"/>
      <c r="I17" s="15">
        <f>E17-G17</f>
        <v>4200</v>
      </c>
      <c r="J17" s="15">
        <v>0</v>
      </c>
      <c r="K17" s="15">
        <v>377.15</v>
      </c>
      <c r="L17" s="15">
        <f t="shared" si="2"/>
        <v>377.15</v>
      </c>
      <c r="M17" s="15">
        <v>0</v>
      </c>
      <c r="N17" s="15">
        <f>E17*0.115+78.75</f>
        <v>596.25</v>
      </c>
      <c r="O17" s="15">
        <f>SUM(L17:N17)</f>
        <v>973.4</v>
      </c>
      <c r="P17" s="18">
        <f>I17-O17</f>
        <v>3226.6</v>
      </c>
      <c r="Q17" s="10">
        <v>251.41</v>
      </c>
      <c r="R17" s="10">
        <v>900</v>
      </c>
      <c r="S17" s="35">
        <f t="shared" ref="S17:S19" si="3">Q17+R17</f>
        <v>1151.4100000000001</v>
      </c>
    </row>
    <row r="18" spans="2:19" x14ac:dyDescent="0.25">
      <c r="B18" t="s">
        <v>116</v>
      </c>
      <c r="C18" t="s">
        <v>89</v>
      </c>
      <c r="D18" t="s">
        <v>4</v>
      </c>
      <c r="E18" s="15">
        <v>2700</v>
      </c>
      <c r="F18" s="29">
        <v>15</v>
      </c>
      <c r="G18" s="15"/>
      <c r="H18" s="15"/>
      <c r="I18" s="15">
        <f>E18-G18</f>
        <v>2700</v>
      </c>
      <c r="J18" s="15">
        <v>147.32</v>
      </c>
      <c r="K18" s="15">
        <v>188.33</v>
      </c>
      <c r="L18" s="15">
        <f t="shared" si="2"/>
        <v>41.010000000000019</v>
      </c>
      <c r="M18" s="15">
        <v>0</v>
      </c>
      <c r="N18" s="15">
        <f>E18*0.115+47.25</f>
        <v>357.75</v>
      </c>
      <c r="O18" s="15">
        <f>SUM(L18:N18)</f>
        <v>398.76</v>
      </c>
      <c r="P18" s="18">
        <f>I18-O18</f>
        <v>2301.2399999999998</v>
      </c>
      <c r="Q18" s="10">
        <v>240.25</v>
      </c>
      <c r="R18" s="10">
        <v>540</v>
      </c>
      <c r="S18" s="35">
        <f t="shared" si="3"/>
        <v>780.25</v>
      </c>
    </row>
    <row r="19" spans="2:19" x14ac:dyDescent="0.25">
      <c r="B19" t="s">
        <v>117</v>
      </c>
      <c r="C19" t="s">
        <v>88</v>
      </c>
      <c r="D19" t="s">
        <v>40</v>
      </c>
      <c r="E19" s="15">
        <v>3150</v>
      </c>
      <c r="F19" s="29">
        <v>15</v>
      </c>
      <c r="G19" s="15"/>
      <c r="H19" s="15"/>
      <c r="I19" s="15">
        <f>E19-G19</f>
        <v>3150</v>
      </c>
      <c r="J19" s="15">
        <v>126.77</v>
      </c>
      <c r="K19" s="15">
        <v>237.29</v>
      </c>
      <c r="L19" s="15">
        <f t="shared" si="2"/>
        <v>110.52</v>
      </c>
      <c r="M19" s="15">
        <v>0</v>
      </c>
      <c r="N19" s="15">
        <f>E19*0.115</f>
        <v>362.25</v>
      </c>
      <c r="O19" s="15">
        <f>SUM(L19:N19)</f>
        <v>472.77</v>
      </c>
      <c r="P19" s="18">
        <f>I19-O19</f>
        <v>2677.23</v>
      </c>
      <c r="Q19" s="10">
        <v>243.04</v>
      </c>
      <c r="R19" s="10">
        <v>630</v>
      </c>
      <c r="S19" s="35">
        <f t="shared" si="3"/>
        <v>873.04</v>
      </c>
    </row>
    <row r="20" spans="2:19" x14ac:dyDescent="0.25">
      <c r="B20" s="2" t="s">
        <v>26</v>
      </c>
      <c r="C20" s="30"/>
      <c r="D20" s="30"/>
      <c r="E20" s="34">
        <f t="shared" ref="E20:S20" si="4">SUM(E12:E19)</f>
        <v>36200</v>
      </c>
      <c r="F20" s="34"/>
      <c r="G20" s="34">
        <f t="shared" si="4"/>
        <v>306.79000000000002</v>
      </c>
      <c r="H20" s="34">
        <f t="shared" si="4"/>
        <v>0</v>
      </c>
      <c r="I20" s="34">
        <f t="shared" si="4"/>
        <v>35893.21</v>
      </c>
      <c r="J20" s="34">
        <f t="shared" si="4"/>
        <v>274.08999999999997</v>
      </c>
      <c r="K20" s="34">
        <f t="shared" si="4"/>
        <v>4715.17</v>
      </c>
      <c r="L20" s="34">
        <f t="shared" si="4"/>
        <v>3852.88</v>
      </c>
      <c r="M20" s="34">
        <f t="shared" si="4"/>
        <v>0</v>
      </c>
      <c r="N20" s="34">
        <f t="shared" si="4"/>
        <v>4645.24</v>
      </c>
      <c r="O20" s="34">
        <f t="shared" si="4"/>
        <v>8498.1200000000008</v>
      </c>
      <c r="P20" s="34">
        <f t="shared" si="4"/>
        <v>27395.089999999993</v>
      </c>
      <c r="Q20" s="34">
        <f t="shared" si="4"/>
        <v>1789.0400000000002</v>
      </c>
      <c r="R20" s="34">
        <f t="shared" si="4"/>
        <v>7240</v>
      </c>
      <c r="S20" s="34">
        <f t="shared" si="4"/>
        <v>9029.0400000000009</v>
      </c>
    </row>
    <row r="21" spans="2:19" x14ac:dyDescent="0.25">
      <c r="B21" s="2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2:19" x14ac:dyDescent="0.25">
      <c r="B22" s="2" t="s">
        <v>50</v>
      </c>
      <c r="C22" s="2" t="s">
        <v>160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2:19" x14ac:dyDescent="0.25">
      <c r="B23" t="s">
        <v>119</v>
      </c>
      <c r="C23" t="s">
        <v>91</v>
      </c>
      <c r="D23" t="s">
        <v>76</v>
      </c>
      <c r="E23" s="15">
        <v>5350</v>
      </c>
      <c r="F23" s="29">
        <v>13</v>
      </c>
      <c r="G23" s="15">
        <f>356.66*2</f>
        <v>713.32</v>
      </c>
      <c r="H23" s="15"/>
      <c r="I23" s="15">
        <f>E23-G23</f>
        <v>4636.68</v>
      </c>
      <c r="J23" s="15">
        <v>0</v>
      </c>
      <c r="K23" s="15">
        <v>453.47</v>
      </c>
      <c r="L23" s="15">
        <f>K23-J23</f>
        <v>453.47</v>
      </c>
      <c r="M23" s="15">
        <v>0</v>
      </c>
      <c r="N23" s="15">
        <f>E23*0.115+93.66</f>
        <v>708.91</v>
      </c>
      <c r="O23" s="15">
        <f>SUM(L23:N23)</f>
        <v>1162.3800000000001</v>
      </c>
      <c r="P23" s="18">
        <f>I23-O23</f>
        <v>3474.3</v>
      </c>
      <c r="Q23" s="10">
        <v>256.68</v>
      </c>
      <c r="R23" s="10">
        <v>1070</v>
      </c>
      <c r="S23" s="35">
        <f>Q23+R23</f>
        <v>1326.68</v>
      </c>
    </row>
    <row r="24" spans="2:19" x14ac:dyDescent="0.25">
      <c r="B24" t="s">
        <v>120</v>
      </c>
      <c r="C24" t="s">
        <v>93</v>
      </c>
      <c r="D24" t="s">
        <v>78</v>
      </c>
      <c r="E24" s="15">
        <v>5350</v>
      </c>
      <c r="F24" s="29">
        <v>15</v>
      </c>
      <c r="G24" s="15"/>
      <c r="H24" s="15"/>
      <c r="I24" s="15">
        <f>E24-G24</f>
        <v>5350</v>
      </c>
      <c r="J24" s="15">
        <v>0</v>
      </c>
      <c r="K24" s="15">
        <v>588.20000000000005</v>
      </c>
      <c r="L24" s="15">
        <f>K24-J24</f>
        <v>588.20000000000005</v>
      </c>
      <c r="M24" s="15">
        <v>0</v>
      </c>
      <c r="N24" s="15">
        <f>E24*0.115+93.63</f>
        <v>708.88</v>
      </c>
      <c r="O24" s="15">
        <f>SUM(L24:N24)</f>
        <v>1297.08</v>
      </c>
      <c r="P24" s="18">
        <f>I24-O24</f>
        <v>4052.92</v>
      </c>
      <c r="Q24" s="10">
        <v>256.68</v>
      </c>
      <c r="R24" s="10">
        <v>1070</v>
      </c>
      <c r="S24" s="35">
        <f>Q24+R24</f>
        <v>1326.68</v>
      </c>
    </row>
    <row r="25" spans="2:19" x14ac:dyDescent="0.25">
      <c r="B25" t="s">
        <v>121</v>
      </c>
      <c r="C25" t="s">
        <v>114</v>
      </c>
      <c r="D25" t="s">
        <v>79</v>
      </c>
      <c r="E25" s="15">
        <v>5350</v>
      </c>
      <c r="F25" s="29">
        <v>15</v>
      </c>
      <c r="G25" s="15"/>
      <c r="H25" s="15"/>
      <c r="I25" s="15">
        <f>E25-G25</f>
        <v>5350</v>
      </c>
      <c r="J25" s="15">
        <v>0</v>
      </c>
      <c r="K25" s="15">
        <v>588.20000000000005</v>
      </c>
      <c r="L25" s="15">
        <f>K25-J25</f>
        <v>588.20000000000005</v>
      </c>
      <c r="M25" s="15">
        <v>0</v>
      </c>
      <c r="N25" s="15">
        <f>E25*0.115</f>
        <v>615.25</v>
      </c>
      <c r="O25" s="15">
        <f>SUM(L25:N25)</f>
        <v>1203.45</v>
      </c>
      <c r="P25" s="18">
        <f>I25-O25</f>
        <v>4146.55</v>
      </c>
      <c r="Q25" s="10">
        <v>256.68</v>
      </c>
      <c r="R25" s="10">
        <v>1070</v>
      </c>
      <c r="S25" s="35">
        <f>Q25+R25</f>
        <v>1326.68</v>
      </c>
    </row>
    <row r="26" spans="2:19" x14ac:dyDescent="0.25">
      <c r="B26" s="2" t="s">
        <v>26</v>
      </c>
      <c r="C26" s="30"/>
      <c r="D26" s="30"/>
      <c r="E26" s="34">
        <f>SUM(E23:E25)</f>
        <v>16050</v>
      </c>
      <c r="F26" s="34"/>
      <c r="G26" s="34">
        <f>SUM(G23:G25)</f>
        <v>713.32</v>
      </c>
      <c r="H26" s="34">
        <f>SUM(H23:H25)</f>
        <v>0</v>
      </c>
      <c r="I26" s="34">
        <f t="shared" ref="I26:S26" si="5">SUM(I23:I25)</f>
        <v>15336.68</v>
      </c>
      <c r="J26" s="34">
        <f t="shared" si="5"/>
        <v>0</v>
      </c>
      <c r="K26" s="34">
        <f t="shared" si="5"/>
        <v>1629.8700000000001</v>
      </c>
      <c r="L26" s="34">
        <f t="shared" si="5"/>
        <v>1629.8700000000001</v>
      </c>
      <c r="M26" s="34">
        <f t="shared" si="5"/>
        <v>0</v>
      </c>
      <c r="N26" s="34">
        <f t="shared" si="5"/>
        <v>2033.04</v>
      </c>
      <c r="O26" s="34">
        <f t="shared" si="5"/>
        <v>3662.91</v>
      </c>
      <c r="P26" s="34">
        <f t="shared" si="5"/>
        <v>11673.77</v>
      </c>
      <c r="Q26" s="34">
        <f t="shared" si="5"/>
        <v>770.04</v>
      </c>
      <c r="R26" s="34">
        <f t="shared" si="5"/>
        <v>3210</v>
      </c>
      <c r="S26" s="34">
        <f t="shared" si="5"/>
        <v>3980.04</v>
      </c>
    </row>
    <row r="27" spans="2:19" x14ac:dyDescent="0.25"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2:19" x14ac:dyDescent="0.25">
      <c r="B28" s="2" t="s">
        <v>63</v>
      </c>
      <c r="C28" s="2" t="s">
        <v>51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2:19" x14ac:dyDescent="0.25">
      <c r="B29" t="s">
        <v>122</v>
      </c>
      <c r="C29" t="s">
        <v>97</v>
      </c>
      <c r="D29" t="s">
        <v>80</v>
      </c>
      <c r="E29" s="15">
        <v>5350</v>
      </c>
      <c r="F29" s="29">
        <v>15</v>
      </c>
      <c r="G29" s="15"/>
      <c r="H29" s="15"/>
      <c r="I29" s="15">
        <f t="shared" ref="I29:I39" si="6">E29-G29</f>
        <v>5350</v>
      </c>
      <c r="J29" s="15">
        <v>0</v>
      </c>
      <c r="K29" s="15">
        <v>588.20000000000005</v>
      </c>
      <c r="L29" s="15">
        <f>K29-J29</f>
        <v>588.20000000000005</v>
      </c>
      <c r="M29" s="15">
        <v>0</v>
      </c>
      <c r="N29" s="15">
        <f>E29*0.115+93.65</f>
        <v>708.9</v>
      </c>
      <c r="O29" s="15">
        <f t="shared" ref="O29:O39" si="7">SUM(L29:N29)</f>
        <v>1297.0999999999999</v>
      </c>
      <c r="P29" s="18">
        <f t="shared" ref="P29:P39" si="8">I29-O29</f>
        <v>4052.9</v>
      </c>
      <c r="Q29" s="10">
        <v>256.68</v>
      </c>
      <c r="R29" s="10">
        <v>1070</v>
      </c>
      <c r="S29" s="35">
        <f t="shared" ref="S29:S39" si="9">Q29+R29</f>
        <v>1326.68</v>
      </c>
    </row>
    <row r="30" spans="2:19" x14ac:dyDescent="0.25">
      <c r="B30" t="s">
        <v>123</v>
      </c>
      <c r="C30" t="s">
        <v>100</v>
      </c>
      <c r="D30" t="s">
        <v>80</v>
      </c>
      <c r="E30" s="15">
        <v>5350</v>
      </c>
      <c r="F30" s="29">
        <v>15</v>
      </c>
      <c r="G30" s="15">
        <v>3.4</v>
      </c>
      <c r="H30" s="15"/>
      <c r="I30" s="15">
        <f t="shared" si="6"/>
        <v>5346.6</v>
      </c>
      <c r="J30" s="15">
        <v>0</v>
      </c>
      <c r="K30" s="15">
        <v>587.48</v>
      </c>
      <c r="L30" s="15">
        <f t="shared" ref="L30:L39" si="10">K30-J30</f>
        <v>587.48</v>
      </c>
      <c r="M30" s="15">
        <v>0</v>
      </c>
      <c r="N30" s="15">
        <f>E30*0.115+93.71</f>
        <v>708.96</v>
      </c>
      <c r="O30" s="15">
        <f t="shared" si="7"/>
        <v>1296.44</v>
      </c>
      <c r="P30" s="18">
        <f t="shared" si="8"/>
        <v>4050.1600000000003</v>
      </c>
      <c r="Q30" s="10">
        <v>256.68</v>
      </c>
      <c r="R30" s="10">
        <v>1070</v>
      </c>
      <c r="S30" s="35">
        <f t="shared" si="9"/>
        <v>1326.68</v>
      </c>
    </row>
    <row r="31" spans="2:19" x14ac:dyDescent="0.25">
      <c r="B31" t="s">
        <v>124</v>
      </c>
      <c r="C31" t="s">
        <v>96</v>
      </c>
      <c r="D31" t="s">
        <v>78</v>
      </c>
      <c r="E31" s="15">
        <v>5350</v>
      </c>
      <c r="F31" s="29">
        <v>15</v>
      </c>
      <c r="G31" s="15"/>
      <c r="H31" s="15"/>
      <c r="I31" s="15">
        <f t="shared" si="6"/>
        <v>5350</v>
      </c>
      <c r="J31" s="15">
        <v>0</v>
      </c>
      <c r="K31" s="15">
        <v>588.20000000000005</v>
      </c>
      <c r="L31" s="15">
        <f t="shared" si="10"/>
        <v>588.20000000000005</v>
      </c>
      <c r="M31" s="15">
        <v>0</v>
      </c>
      <c r="N31" s="15">
        <f>E31*0.115+99.88</f>
        <v>715.13</v>
      </c>
      <c r="O31" s="15">
        <f t="shared" si="7"/>
        <v>1303.33</v>
      </c>
      <c r="P31" s="18">
        <f t="shared" si="8"/>
        <v>4046.67</v>
      </c>
      <c r="Q31" s="10">
        <v>256.68</v>
      </c>
      <c r="R31" s="10">
        <v>1070</v>
      </c>
      <c r="S31" s="35">
        <f t="shared" si="9"/>
        <v>1326.68</v>
      </c>
    </row>
    <row r="32" spans="2:19" x14ac:dyDescent="0.25">
      <c r="B32" t="s">
        <v>125</v>
      </c>
      <c r="C32" t="s">
        <v>104</v>
      </c>
      <c r="D32" t="s">
        <v>78</v>
      </c>
      <c r="E32" s="15">
        <v>5350</v>
      </c>
      <c r="F32" s="29">
        <v>15</v>
      </c>
      <c r="G32" s="15"/>
      <c r="H32" s="15"/>
      <c r="I32" s="15">
        <f t="shared" si="6"/>
        <v>5350</v>
      </c>
      <c r="J32" s="15">
        <v>0</v>
      </c>
      <c r="K32" s="15">
        <v>588.20000000000005</v>
      </c>
      <c r="L32" s="15">
        <f t="shared" si="10"/>
        <v>588.20000000000005</v>
      </c>
      <c r="M32" s="15">
        <v>0</v>
      </c>
      <c r="N32" s="15">
        <f t="shared" ref="N32:N39" si="11">E32*0.115+93.63</f>
        <v>708.88</v>
      </c>
      <c r="O32" s="15">
        <f t="shared" si="7"/>
        <v>1297.08</v>
      </c>
      <c r="P32" s="18">
        <f t="shared" si="8"/>
        <v>4052.92</v>
      </c>
      <c r="Q32" s="10">
        <v>256.68</v>
      </c>
      <c r="R32" s="10">
        <v>1070</v>
      </c>
      <c r="S32" s="35">
        <f t="shared" si="9"/>
        <v>1326.68</v>
      </c>
    </row>
    <row r="33" spans="2:19" x14ac:dyDescent="0.25">
      <c r="B33" t="s">
        <v>126</v>
      </c>
      <c r="C33" t="s">
        <v>94</v>
      </c>
      <c r="D33" t="s">
        <v>81</v>
      </c>
      <c r="E33" s="15">
        <v>5350</v>
      </c>
      <c r="F33" s="29">
        <v>15</v>
      </c>
      <c r="G33" s="15">
        <v>0.85</v>
      </c>
      <c r="H33" s="15"/>
      <c r="I33" s="15">
        <f t="shared" si="6"/>
        <v>5349.15</v>
      </c>
      <c r="J33" s="15">
        <v>0</v>
      </c>
      <c r="K33" s="15">
        <v>517.23</v>
      </c>
      <c r="L33" s="15">
        <v>588.02</v>
      </c>
      <c r="M33" s="15">
        <v>0</v>
      </c>
      <c r="N33" s="15">
        <f t="shared" si="11"/>
        <v>708.88</v>
      </c>
      <c r="O33" s="15">
        <f t="shared" si="7"/>
        <v>1296.9000000000001</v>
      </c>
      <c r="P33" s="18">
        <f t="shared" si="8"/>
        <v>4052.2499999999995</v>
      </c>
      <c r="Q33" s="10">
        <v>256.68</v>
      </c>
      <c r="R33" s="10">
        <v>1070</v>
      </c>
      <c r="S33" s="35">
        <f t="shared" si="9"/>
        <v>1326.68</v>
      </c>
    </row>
    <row r="34" spans="2:19" x14ac:dyDescent="0.25">
      <c r="B34" t="s">
        <v>127</v>
      </c>
      <c r="C34" t="s">
        <v>98</v>
      </c>
      <c r="D34" t="s">
        <v>81</v>
      </c>
      <c r="E34" s="15">
        <v>5350</v>
      </c>
      <c r="F34" s="29">
        <v>15</v>
      </c>
      <c r="G34" s="15"/>
      <c r="H34" s="15"/>
      <c r="I34" s="15">
        <f t="shared" si="6"/>
        <v>5350</v>
      </c>
      <c r="J34" s="15">
        <v>0</v>
      </c>
      <c r="K34" s="15">
        <v>588.20000000000005</v>
      </c>
      <c r="L34" s="15">
        <f t="shared" si="10"/>
        <v>588.20000000000005</v>
      </c>
      <c r="M34" s="15">
        <v>0</v>
      </c>
      <c r="N34" s="15">
        <f t="shared" si="11"/>
        <v>708.88</v>
      </c>
      <c r="O34" s="15">
        <f t="shared" si="7"/>
        <v>1297.08</v>
      </c>
      <c r="P34" s="18">
        <f t="shared" si="8"/>
        <v>4052.92</v>
      </c>
      <c r="Q34" s="10">
        <v>256.68</v>
      </c>
      <c r="R34" s="10">
        <v>1070</v>
      </c>
      <c r="S34" s="35">
        <f t="shared" si="9"/>
        <v>1326.68</v>
      </c>
    </row>
    <row r="35" spans="2:19" x14ac:dyDescent="0.25">
      <c r="B35" t="s">
        <v>128</v>
      </c>
      <c r="C35" t="s">
        <v>101</v>
      </c>
      <c r="D35" t="s">
        <v>81</v>
      </c>
      <c r="E35" s="15">
        <v>5350</v>
      </c>
      <c r="F35" s="29">
        <v>15</v>
      </c>
      <c r="G35" s="15">
        <v>10.190400000000011</v>
      </c>
      <c r="H35" s="15"/>
      <c r="I35" s="15">
        <f t="shared" si="6"/>
        <v>5339.8095999999996</v>
      </c>
      <c r="J35" s="15">
        <v>0</v>
      </c>
      <c r="K35" s="15">
        <v>586.03</v>
      </c>
      <c r="L35" s="15">
        <f t="shared" si="10"/>
        <v>586.03</v>
      </c>
      <c r="M35" s="15">
        <v>0</v>
      </c>
      <c r="N35" s="15">
        <f t="shared" si="11"/>
        <v>708.88</v>
      </c>
      <c r="O35" s="15">
        <f t="shared" si="7"/>
        <v>1294.9099999999999</v>
      </c>
      <c r="P35" s="18">
        <f t="shared" si="8"/>
        <v>4044.8995999999997</v>
      </c>
      <c r="Q35" s="10">
        <v>256.68</v>
      </c>
      <c r="R35" s="10">
        <v>1070</v>
      </c>
      <c r="S35" s="35">
        <f t="shared" si="9"/>
        <v>1326.68</v>
      </c>
    </row>
    <row r="36" spans="2:19" x14ac:dyDescent="0.25">
      <c r="B36" t="s">
        <v>129</v>
      </c>
      <c r="C36" t="s">
        <v>95</v>
      </c>
      <c r="D36" t="s">
        <v>82</v>
      </c>
      <c r="E36" s="15">
        <v>5350</v>
      </c>
      <c r="F36" s="29">
        <v>15</v>
      </c>
      <c r="G36" s="15"/>
      <c r="H36" s="15"/>
      <c r="I36" s="15">
        <f t="shared" si="6"/>
        <v>5350</v>
      </c>
      <c r="J36" s="15">
        <v>0</v>
      </c>
      <c r="K36" s="15">
        <v>588.20000000000005</v>
      </c>
      <c r="L36" s="15">
        <f t="shared" si="10"/>
        <v>588.20000000000005</v>
      </c>
      <c r="M36" s="15">
        <v>0</v>
      </c>
      <c r="N36" s="15">
        <f t="shared" si="11"/>
        <v>708.88</v>
      </c>
      <c r="O36" s="15">
        <f t="shared" si="7"/>
        <v>1297.08</v>
      </c>
      <c r="P36" s="18">
        <f t="shared" si="8"/>
        <v>4052.92</v>
      </c>
      <c r="Q36" s="10">
        <v>256.68</v>
      </c>
      <c r="R36" s="10">
        <v>1070</v>
      </c>
      <c r="S36" s="35">
        <f t="shared" si="9"/>
        <v>1326.68</v>
      </c>
    </row>
    <row r="37" spans="2:19" x14ac:dyDescent="0.25">
      <c r="B37" t="s">
        <v>130</v>
      </c>
      <c r="C37" t="s">
        <v>102</v>
      </c>
      <c r="D37" t="s">
        <v>82</v>
      </c>
      <c r="E37" s="15">
        <v>5350</v>
      </c>
      <c r="F37" s="29">
        <v>15</v>
      </c>
      <c r="G37" s="15">
        <v>10.19</v>
      </c>
      <c r="H37" s="15"/>
      <c r="I37" s="15">
        <f t="shared" si="6"/>
        <v>5339.81</v>
      </c>
      <c r="J37" s="15">
        <v>0</v>
      </c>
      <c r="K37" s="15">
        <v>586.03</v>
      </c>
      <c r="L37" s="15">
        <f t="shared" si="10"/>
        <v>586.03</v>
      </c>
      <c r="M37" s="15">
        <v>0</v>
      </c>
      <c r="N37" s="15">
        <f t="shared" si="11"/>
        <v>708.88</v>
      </c>
      <c r="O37" s="15">
        <f t="shared" si="7"/>
        <v>1294.9099999999999</v>
      </c>
      <c r="P37" s="18">
        <f t="shared" si="8"/>
        <v>4044.9000000000005</v>
      </c>
      <c r="Q37" s="10">
        <v>256.68</v>
      </c>
      <c r="R37" s="10">
        <v>1070</v>
      </c>
      <c r="S37" s="35">
        <f t="shared" si="9"/>
        <v>1326.68</v>
      </c>
    </row>
    <row r="38" spans="2:19" x14ac:dyDescent="0.25">
      <c r="B38" t="s">
        <v>131</v>
      </c>
      <c r="C38" t="s">
        <v>85</v>
      </c>
      <c r="D38" t="s">
        <v>83</v>
      </c>
      <c r="E38" s="15">
        <v>5350</v>
      </c>
      <c r="F38" s="29">
        <v>15</v>
      </c>
      <c r="G38" s="15"/>
      <c r="H38" s="15"/>
      <c r="I38" s="15">
        <f t="shared" si="6"/>
        <v>5350</v>
      </c>
      <c r="J38" s="15">
        <v>0</v>
      </c>
      <c r="K38" s="15">
        <v>588.20000000000005</v>
      </c>
      <c r="L38" s="15">
        <f t="shared" si="10"/>
        <v>588.20000000000005</v>
      </c>
      <c r="M38" s="15">
        <v>0</v>
      </c>
      <c r="N38" s="15">
        <f t="shared" si="11"/>
        <v>708.88</v>
      </c>
      <c r="O38" s="15">
        <f t="shared" si="7"/>
        <v>1297.08</v>
      </c>
      <c r="P38" s="18">
        <f t="shared" si="8"/>
        <v>4052.92</v>
      </c>
      <c r="Q38" s="10">
        <v>256.68</v>
      </c>
      <c r="R38" s="10">
        <v>1070</v>
      </c>
      <c r="S38" s="35">
        <f t="shared" si="9"/>
        <v>1326.68</v>
      </c>
    </row>
    <row r="39" spans="2:19" x14ac:dyDescent="0.25">
      <c r="B39" t="s">
        <v>132</v>
      </c>
      <c r="C39" t="s">
        <v>103</v>
      </c>
      <c r="D39" t="s">
        <v>83</v>
      </c>
      <c r="E39" s="15">
        <v>5350</v>
      </c>
      <c r="F39" s="29">
        <v>15</v>
      </c>
      <c r="G39" s="15"/>
      <c r="H39" s="15"/>
      <c r="I39" s="15">
        <f t="shared" si="6"/>
        <v>5350</v>
      </c>
      <c r="J39" s="15">
        <v>0</v>
      </c>
      <c r="K39" s="15">
        <v>588.20000000000005</v>
      </c>
      <c r="L39" s="15">
        <f t="shared" si="10"/>
        <v>588.20000000000005</v>
      </c>
      <c r="M39" s="15">
        <v>0</v>
      </c>
      <c r="N39" s="15">
        <f t="shared" si="11"/>
        <v>708.88</v>
      </c>
      <c r="O39" s="15">
        <f t="shared" si="7"/>
        <v>1297.08</v>
      </c>
      <c r="P39" s="18">
        <f t="shared" si="8"/>
        <v>4052.92</v>
      </c>
      <c r="Q39" s="10">
        <v>256.68</v>
      </c>
      <c r="R39" s="10">
        <v>1070</v>
      </c>
      <c r="S39" s="35">
        <f t="shared" si="9"/>
        <v>1326.68</v>
      </c>
    </row>
    <row r="40" spans="2:19" x14ac:dyDescent="0.25">
      <c r="B40" s="2" t="s">
        <v>26</v>
      </c>
      <c r="C40" s="30"/>
      <c r="D40" s="30"/>
      <c r="E40" s="34">
        <f>SUM(E29:E39)</f>
        <v>58850</v>
      </c>
      <c r="F40" s="34"/>
      <c r="G40" s="34">
        <f>SUM(G29:G39)</f>
        <v>24.630400000000009</v>
      </c>
      <c r="H40" s="34">
        <f>SUM(H29:H39)</f>
        <v>0</v>
      </c>
      <c r="I40" s="34">
        <f>SUM(I29:I39)</f>
        <v>58825.369599999998</v>
      </c>
      <c r="J40" s="34">
        <f t="shared" ref="J40:S40" si="12">SUM(J29:J39)</f>
        <v>0</v>
      </c>
      <c r="K40" s="34">
        <f t="shared" si="12"/>
        <v>6394.1699999999992</v>
      </c>
      <c r="L40" s="34">
        <f t="shared" si="12"/>
        <v>6464.9599999999991</v>
      </c>
      <c r="M40" s="34">
        <f t="shared" si="12"/>
        <v>0</v>
      </c>
      <c r="N40" s="34">
        <f t="shared" si="12"/>
        <v>7804.0300000000007</v>
      </c>
      <c r="O40" s="34">
        <f t="shared" si="12"/>
        <v>14268.99</v>
      </c>
      <c r="P40" s="34">
        <f t="shared" si="12"/>
        <v>44556.3796</v>
      </c>
      <c r="Q40" s="34">
        <f t="shared" si="12"/>
        <v>2823.4799999999996</v>
      </c>
      <c r="R40" s="34">
        <f t="shared" si="12"/>
        <v>11770</v>
      </c>
      <c r="S40" s="34">
        <f t="shared" si="12"/>
        <v>14593.480000000001</v>
      </c>
    </row>
    <row r="41" spans="2:19" x14ac:dyDescent="0.25"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2:19" x14ac:dyDescent="0.25">
      <c r="B42" s="2" t="s">
        <v>140</v>
      </c>
      <c r="C42" s="2" t="s">
        <v>64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2:19" x14ac:dyDescent="0.25">
      <c r="B43" t="s">
        <v>133</v>
      </c>
      <c r="C43" t="s">
        <v>99</v>
      </c>
      <c r="D43" t="s">
        <v>80</v>
      </c>
      <c r="E43" s="15">
        <v>5350</v>
      </c>
      <c r="F43" s="29">
        <v>15</v>
      </c>
      <c r="G43" s="15">
        <v>9.34</v>
      </c>
      <c r="H43" s="15"/>
      <c r="I43" s="15">
        <f>E43-G43</f>
        <v>5340.66</v>
      </c>
      <c r="J43" s="15">
        <v>0</v>
      </c>
      <c r="K43" s="15">
        <v>586.21</v>
      </c>
      <c r="L43" s="15">
        <f>K43-J43</f>
        <v>586.21</v>
      </c>
      <c r="M43" s="15">
        <v>0</v>
      </c>
      <c r="N43" s="15">
        <f>I43*0.115+101.23</f>
        <v>715.40589999999997</v>
      </c>
      <c r="O43" s="15">
        <f>SUM(L43:N43)</f>
        <v>1301.6159</v>
      </c>
      <c r="P43" s="18">
        <f>I43-O43</f>
        <v>4039.0441000000001</v>
      </c>
      <c r="Q43" s="10">
        <v>256.68</v>
      </c>
      <c r="R43" s="10">
        <v>1070</v>
      </c>
      <c r="S43" s="35">
        <f t="shared" ref="S43:S44" si="13">Q43+R43</f>
        <v>1326.68</v>
      </c>
    </row>
    <row r="44" spans="2:19" x14ac:dyDescent="0.25">
      <c r="B44" t="s">
        <v>152</v>
      </c>
      <c r="C44" t="s">
        <v>92</v>
      </c>
      <c r="D44" t="s">
        <v>80</v>
      </c>
      <c r="E44" s="15">
        <v>5350</v>
      </c>
      <c r="F44" s="29">
        <v>15</v>
      </c>
      <c r="G44" s="15"/>
      <c r="H44" s="15"/>
      <c r="I44" s="15">
        <f>E44-G44</f>
        <v>5350</v>
      </c>
      <c r="J44" s="15">
        <v>0</v>
      </c>
      <c r="K44" s="15">
        <v>588.20000000000005</v>
      </c>
      <c r="L44" s="15">
        <v>588.20000000000005</v>
      </c>
      <c r="M44" s="15">
        <v>0</v>
      </c>
      <c r="N44" s="15">
        <f>I44*0.115</f>
        <v>615.25</v>
      </c>
      <c r="O44" s="15">
        <f>SUM(L44:N44)</f>
        <v>1203.45</v>
      </c>
      <c r="P44" s="18">
        <f>I44-O44</f>
        <v>4146.55</v>
      </c>
      <c r="Q44" s="10">
        <v>256.68</v>
      </c>
      <c r="R44" s="10">
        <v>1070</v>
      </c>
      <c r="S44" s="35">
        <f t="shared" si="13"/>
        <v>1326.68</v>
      </c>
    </row>
    <row r="45" spans="2:19" x14ac:dyDescent="0.25">
      <c r="B45" s="2" t="s">
        <v>26</v>
      </c>
      <c r="C45" s="30"/>
      <c r="D45" s="30"/>
      <c r="E45" s="34">
        <f>E43+E44</f>
        <v>10700</v>
      </c>
      <c r="F45" s="34"/>
      <c r="G45" s="34">
        <f>G43+G44</f>
        <v>9.34</v>
      </c>
      <c r="H45" s="34">
        <f>H43+H44</f>
        <v>0</v>
      </c>
      <c r="I45" s="34">
        <f t="shared" ref="I45:S45" si="14">I43+I44</f>
        <v>10690.66</v>
      </c>
      <c r="J45" s="34">
        <f t="shared" si="14"/>
        <v>0</v>
      </c>
      <c r="K45" s="34">
        <f t="shared" si="14"/>
        <v>1174.4100000000001</v>
      </c>
      <c r="L45" s="34">
        <f t="shared" si="14"/>
        <v>1174.4100000000001</v>
      </c>
      <c r="M45" s="34">
        <f t="shared" si="14"/>
        <v>0</v>
      </c>
      <c r="N45" s="34">
        <f t="shared" si="14"/>
        <v>1330.6559</v>
      </c>
      <c r="O45" s="34">
        <f t="shared" si="14"/>
        <v>2505.0659000000001</v>
      </c>
      <c r="P45" s="34">
        <f t="shared" si="14"/>
        <v>8185.5941000000003</v>
      </c>
      <c r="Q45" s="34">
        <f t="shared" si="14"/>
        <v>513.36</v>
      </c>
      <c r="R45" s="34">
        <f t="shared" si="14"/>
        <v>2140</v>
      </c>
      <c r="S45" s="34">
        <f t="shared" si="14"/>
        <v>2653.36</v>
      </c>
    </row>
    <row r="46" spans="2:19" x14ac:dyDescent="0.25">
      <c r="B46" s="2"/>
      <c r="E46" s="15"/>
      <c r="F46" s="15"/>
      <c r="G46" s="15"/>
      <c r="H46" s="15"/>
      <c r="I46" s="16"/>
      <c r="J46" s="16"/>
      <c r="K46" s="16"/>
      <c r="L46" s="16"/>
      <c r="M46" s="16"/>
      <c r="N46" s="16"/>
      <c r="O46" s="16"/>
      <c r="P46" s="16"/>
      <c r="Q46" s="8"/>
      <c r="R46" s="8"/>
      <c r="S46" s="8"/>
    </row>
    <row r="47" spans="2:19" x14ac:dyDescent="0.25">
      <c r="B47" s="2" t="s">
        <v>161</v>
      </c>
      <c r="C47" s="2" t="s">
        <v>162</v>
      </c>
      <c r="E47" s="15"/>
      <c r="F47" s="15"/>
      <c r="G47" s="15"/>
      <c r="H47" s="15"/>
      <c r="I47" s="16"/>
      <c r="J47" s="16"/>
      <c r="K47" s="16"/>
      <c r="L47" s="16"/>
      <c r="M47" s="16"/>
      <c r="N47" s="16"/>
      <c r="O47" s="16"/>
      <c r="P47" s="16"/>
      <c r="Q47" s="8"/>
      <c r="R47" s="8"/>
      <c r="S47" s="8"/>
    </row>
    <row r="48" spans="2:19" x14ac:dyDescent="0.25">
      <c r="B48" t="s">
        <v>163</v>
      </c>
      <c r="C48" s="11" t="s">
        <v>42</v>
      </c>
      <c r="D48" t="s">
        <v>2</v>
      </c>
      <c r="E48" s="15">
        <v>10000</v>
      </c>
      <c r="F48" s="29">
        <v>15</v>
      </c>
      <c r="G48" s="15"/>
      <c r="H48" s="15"/>
      <c r="I48" s="15">
        <f>E48-G48</f>
        <v>10000</v>
      </c>
      <c r="J48" s="15">
        <v>0</v>
      </c>
      <c r="K48" s="15">
        <v>1581.44</v>
      </c>
      <c r="L48" s="15">
        <f>K48-J48</f>
        <v>1581.44</v>
      </c>
      <c r="M48" s="15">
        <v>0</v>
      </c>
      <c r="N48" s="15">
        <f>E48*0.115+175</f>
        <v>1325</v>
      </c>
      <c r="O48" s="15">
        <f>SUM(L48:N48)</f>
        <v>2906.44</v>
      </c>
      <c r="P48" s="18">
        <f>I48-O48</f>
        <v>7093.5599999999995</v>
      </c>
      <c r="Q48" s="10">
        <v>285.52999999999997</v>
      </c>
      <c r="R48" s="10">
        <v>2000</v>
      </c>
      <c r="S48" s="35">
        <f>Q48+R48</f>
        <v>2285.5299999999997</v>
      </c>
    </row>
    <row r="49" spans="2:19" x14ac:dyDescent="0.25">
      <c r="B49" s="2" t="s">
        <v>26</v>
      </c>
      <c r="E49" s="34">
        <f>E48</f>
        <v>10000</v>
      </c>
      <c r="F49" s="34"/>
      <c r="G49" s="34">
        <f>G48</f>
        <v>0</v>
      </c>
      <c r="H49" s="34">
        <f>H48</f>
        <v>0</v>
      </c>
      <c r="I49" s="34">
        <f t="shared" ref="I49:S49" si="15">I48</f>
        <v>10000</v>
      </c>
      <c r="J49" s="34">
        <f t="shared" si="15"/>
        <v>0</v>
      </c>
      <c r="K49" s="34">
        <f t="shared" si="15"/>
        <v>1581.44</v>
      </c>
      <c r="L49" s="34">
        <f t="shared" si="15"/>
        <v>1581.44</v>
      </c>
      <c r="M49" s="34">
        <f t="shared" si="15"/>
        <v>0</v>
      </c>
      <c r="N49" s="34">
        <f t="shared" si="15"/>
        <v>1325</v>
      </c>
      <c r="O49" s="34">
        <f t="shared" si="15"/>
        <v>2906.44</v>
      </c>
      <c r="P49" s="34">
        <f t="shared" si="15"/>
        <v>7093.5599999999995</v>
      </c>
      <c r="Q49" s="34">
        <f t="shared" si="15"/>
        <v>285.52999999999997</v>
      </c>
      <c r="R49" s="34">
        <f t="shared" si="15"/>
        <v>2000</v>
      </c>
      <c r="S49" s="34">
        <f t="shared" si="15"/>
        <v>2285.5299999999997</v>
      </c>
    </row>
    <row r="50" spans="2:19" x14ac:dyDescent="0.25">
      <c r="B50" s="2"/>
      <c r="E50" s="15"/>
      <c r="F50" s="15"/>
      <c r="G50" s="15"/>
      <c r="H50" s="15"/>
      <c r="I50" s="16"/>
      <c r="J50" s="16"/>
      <c r="K50" s="16"/>
      <c r="L50" s="16"/>
      <c r="M50" s="16"/>
      <c r="N50" s="16"/>
      <c r="O50" s="16"/>
      <c r="P50" s="16"/>
      <c r="Q50" s="8"/>
      <c r="R50" s="8"/>
      <c r="S50" s="8"/>
    </row>
    <row r="52" spans="2:19" ht="18.75" x14ac:dyDescent="0.3">
      <c r="D52" s="4" t="s">
        <v>105</v>
      </c>
      <c r="E52" s="17">
        <f>E9+E20+E26+E40+E45+E49</f>
        <v>153604.95000000001</v>
      </c>
      <c r="F52" s="17"/>
      <c r="G52" s="17">
        <f>G9+G20+G26+G40+G45+G49</f>
        <v>1054.0804000000001</v>
      </c>
      <c r="H52" s="17">
        <f>H9+H20+H26+H40+H45+H49</f>
        <v>0</v>
      </c>
      <c r="I52" s="17">
        <f t="shared" ref="I52:S52" si="16">I9+I20+I26+I40+I45+I49</f>
        <v>152550.86960000001</v>
      </c>
      <c r="J52" s="17">
        <f t="shared" si="16"/>
        <v>274.08999999999997</v>
      </c>
      <c r="K52" s="17">
        <f t="shared" si="16"/>
        <v>19233.68</v>
      </c>
      <c r="L52" s="17">
        <f t="shared" si="16"/>
        <v>18442.18</v>
      </c>
      <c r="M52" s="17">
        <f t="shared" si="16"/>
        <v>0</v>
      </c>
      <c r="N52" s="17">
        <f t="shared" si="16"/>
        <v>20027.125150000003</v>
      </c>
      <c r="O52" s="17">
        <f t="shared" si="16"/>
        <v>38469.30515</v>
      </c>
      <c r="P52" s="52">
        <f t="shared" si="16"/>
        <v>114081.56444999999</v>
      </c>
      <c r="Q52" s="17">
        <f t="shared" si="16"/>
        <v>6763.6999999999989</v>
      </c>
      <c r="R52" s="17">
        <f t="shared" si="16"/>
        <v>30720.989999999998</v>
      </c>
      <c r="S52" s="17">
        <f t="shared" si="16"/>
        <v>37484.69</v>
      </c>
    </row>
    <row r="56" spans="2:19" ht="15.75" thickBot="1" x14ac:dyDescent="0.3">
      <c r="E56" s="375"/>
      <c r="F56" s="375"/>
      <c r="N56" s="375"/>
      <c r="O56" s="375"/>
    </row>
    <row r="58" spans="2:19" x14ac:dyDescent="0.25">
      <c r="E58" s="377" t="s">
        <v>172</v>
      </c>
      <c r="F58" s="377"/>
      <c r="N58" s="377" t="s">
        <v>157</v>
      </c>
      <c r="O58" s="377"/>
    </row>
    <row r="62" spans="2:19" x14ac:dyDescent="0.25">
      <c r="C62" t="s">
        <v>174</v>
      </c>
    </row>
  </sheetData>
  <autoFilter ref="E3:E62"/>
  <mergeCells count="6">
    <mergeCell ref="C3:D3"/>
    <mergeCell ref="E4:S4"/>
    <mergeCell ref="E56:F56"/>
    <mergeCell ref="N56:O56"/>
    <mergeCell ref="E58:F58"/>
    <mergeCell ref="N58:O58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300" scale="45" fitToHeight="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59"/>
  <sheetViews>
    <sheetView topLeftCell="C17" zoomScale="85" zoomScaleNormal="85" workbookViewId="0">
      <selection activeCell="P33" sqref="P33"/>
    </sheetView>
  </sheetViews>
  <sheetFormatPr baseColWidth="10" defaultRowHeight="15" x14ac:dyDescent="0.25"/>
  <cols>
    <col min="1" max="1" width="0.7109375" customWidth="1"/>
    <col min="2" max="2" width="16.5703125" customWidth="1"/>
    <col min="3" max="3" width="34.140625" customWidth="1"/>
    <col min="4" max="4" width="29.28515625" customWidth="1"/>
    <col min="5" max="5" width="18.42578125" customWidth="1"/>
    <col min="7" max="7" width="10" customWidth="1"/>
    <col min="8" max="8" width="0" hidden="1" customWidth="1"/>
    <col min="9" max="9" width="14.42578125" customWidth="1"/>
    <col min="10" max="10" width="9.140625" bestFit="1" customWidth="1"/>
    <col min="11" max="11" width="10.28515625" customWidth="1"/>
    <col min="12" max="12" width="12.7109375" customWidth="1"/>
    <col min="13" max="13" width="11.42578125" hidden="1" customWidth="1"/>
    <col min="14" max="14" width="12.85546875" customWidth="1"/>
    <col min="15" max="15" width="16.5703125" customWidth="1"/>
    <col min="16" max="16" width="18.28515625" customWidth="1"/>
    <col min="17" max="17" width="16.140625" customWidth="1"/>
    <col min="18" max="18" width="14.85546875" customWidth="1"/>
    <col min="19" max="19" width="17" customWidth="1"/>
  </cols>
  <sheetData>
    <row r="3" spans="2:19" x14ac:dyDescent="0.25"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2:19" ht="16.5" customHeight="1" x14ac:dyDescent="0.25">
      <c r="B4" s="372" t="s">
        <v>175</v>
      </c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</row>
    <row r="5" spans="2:19" s="56" customFormat="1" ht="39.75" customHeight="1" thickBot="1" x14ac:dyDescent="0.3">
      <c r="B5" s="42" t="s">
        <v>9</v>
      </c>
      <c r="C5" s="43" t="s">
        <v>10</v>
      </c>
      <c r="D5" s="43" t="s">
        <v>0</v>
      </c>
      <c r="E5" s="44" t="s">
        <v>11</v>
      </c>
      <c r="F5" s="44" t="s">
        <v>150</v>
      </c>
      <c r="G5" s="45" t="s">
        <v>169</v>
      </c>
      <c r="H5" s="44" t="s">
        <v>170</v>
      </c>
      <c r="I5" s="44" t="s">
        <v>12</v>
      </c>
      <c r="J5" s="44" t="s">
        <v>107</v>
      </c>
      <c r="K5" s="44" t="s">
        <v>143</v>
      </c>
      <c r="L5" s="44" t="s">
        <v>13</v>
      </c>
      <c r="M5" s="44" t="s">
        <v>171</v>
      </c>
      <c r="N5" s="44" t="s">
        <v>16</v>
      </c>
      <c r="O5" s="44" t="s">
        <v>17</v>
      </c>
      <c r="P5" s="44" t="s">
        <v>72</v>
      </c>
      <c r="Q5" s="43" t="s">
        <v>8</v>
      </c>
      <c r="R5" s="43" t="s">
        <v>18</v>
      </c>
      <c r="S5" s="46" t="s">
        <v>73</v>
      </c>
    </row>
    <row r="6" spans="2:19" ht="15.75" thickTop="1" x14ac:dyDescent="0.25">
      <c r="B6" s="2" t="s">
        <v>19</v>
      </c>
      <c r="C6" s="2" t="s">
        <v>20</v>
      </c>
      <c r="D6" s="2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2:19" x14ac:dyDescent="0.25">
      <c r="B7" t="s">
        <v>21</v>
      </c>
      <c r="C7" s="11" t="s">
        <v>22</v>
      </c>
      <c r="D7" t="s">
        <v>25</v>
      </c>
      <c r="E7" s="15">
        <v>16954.95</v>
      </c>
      <c r="F7" s="29">
        <v>15</v>
      </c>
      <c r="G7" s="15"/>
      <c r="H7" s="15"/>
      <c r="I7" s="15">
        <f>E7-G7</f>
        <v>16954.95</v>
      </c>
      <c r="J7" s="15">
        <v>0</v>
      </c>
      <c r="K7" s="15">
        <v>3246.93</v>
      </c>
      <c r="L7" s="15">
        <f>K7-J7</f>
        <v>3246.93</v>
      </c>
      <c r="M7" s="15">
        <v>0</v>
      </c>
      <c r="N7" s="15">
        <f>E7*0.115+296.71</f>
        <v>2246.52925</v>
      </c>
      <c r="O7" s="15">
        <f>SUM(L7:N7)</f>
        <v>5493.4592499999999</v>
      </c>
      <c r="P7" s="18">
        <f>I7-O7</f>
        <v>11461.490750000001</v>
      </c>
      <c r="Q7" s="11">
        <v>328.67</v>
      </c>
      <c r="R7" s="11">
        <v>3390.99</v>
      </c>
      <c r="S7" s="35">
        <f>SUM(Q7:R7)</f>
        <v>3719.66</v>
      </c>
    </row>
    <row r="8" spans="2:19" x14ac:dyDescent="0.25">
      <c r="B8" t="s">
        <v>23</v>
      </c>
      <c r="C8" s="11" t="s">
        <v>24</v>
      </c>
      <c r="D8" t="s">
        <v>3</v>
      </c>
      <c r="E8" s="15">
        <v>4850</v>
      </c>
      <c r="F8" s="29">
        <v>15</v>
      </c>
      <c r="G8" s="15"/>
      <c r="H8" s="15"/>
      <c r="I8" s="15">
        <f>E8-G8</f>
        <v>4850</v>
      </c>
      <c r="J8" s="15">
        <v>0</v>
      </c>
      <c r="K8" s="15">
        <v>491.69</v>
      </c>
      <c r="L8" s="15">
        <f t="shared" ref="L8" si="0">K8-J8</f>
        <v>491.69</v>
      </c>
      <c r="M8" s="15">
        <v>0</v>
      </c>
      <c r="N8" s="15">
        <f>E8*0.115+84.88</f>
        <v>642.63</v>
      </c>
      <c r="O8" s="15">
        <f>SUM(L8:N8)</f>
        <v>1134.32</v>
      </c>
      <c r="P8" s="18">
        <f>I8-O8</f>
        <v>3715.6800000000003</v>
      </c>
      <c r="Q8" s="11">
        <v>253.58</v>
      </c>
      <c r="R8" s="11">
        <v>970</v>
      </c>
      <c r="S8" s="35">
        <f t="shared" ref="S8" si="1">SUM(Q8:R8)</f>
        <v>1223.58</v>
      </c>
    </row>
    <row r="9" spans="2:19" x14ac:dyDescent="0.25">
      <c r="B9" s="7" t="s">
        <v>26</v>
      </c>
      <c r="C9" s="30"/>
      <c r="D9" s="30"/>
      <c r="E9" s="34">
        <f>SUM(E7:E8)</f>
        <v>21804.95</v>
      </c>
      <c r="F9" s="34"/>
      <c r="G9" s="34">
        <f t="shared" ref="G9:S9" si="2">SUM(G7:G8)</f>
        <v>0</v>
      </c>
      <c r="H9" s="34">
        <f t="shared" si="2"/>
        <v>0</v>
      </c>
      <c r="I9" s="34">
        <f t="shared" si="2"/>
        <v>21804.95</v>
      </c>
      <c r="J9" s="34">
        <f t="shared" si="2"/>
        <v>0</v>
      </c>
      <c r="K9" s="34">
        <f t="shared" si="2"/>
        <v>3738.62</v>
      </c>
      <c r="L9" s="34">
        <f t="shared" si="2"/>
        <v>3738.62</v>
      </c>
      <c r="M9" s="34">
        <f t="shared" si="2"/>
        <v>0</v>
      </c>
      <c r="N9" s="34">
        <f t="shared" si="2"/>
        <v>2889.1592500000002</v>
      </c>
      <c r="O9" s="34">
        <f t="shared" si="2"/>
        <v>6627.7792499999996</v>
      </c>
      <c r="P9" s="34">
        <f t="shared" si="2"/>
        <v>15177.170750000001</v>
      </c>
      <c r="Q9" s="34">
        <f t="shared" si="2"/>
        <v>582.25</v>
      </c>
      <c r="R9" s="34">
        <f t="shared" si="2"/>
        <v>4360.99</v>
      </c>
      <c r="S9" s="34">
        <f t="shared" si="2"/>
        <v>4943.24</v>
      </c>
    </row>
    <row r="10" spans="2:19" ht="10.5" hidden="1" customHeight="1" x14ac:dyDescent="0.25"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2:19" x14ac:dyDescent="0.25">
      <c r="B11" s="2" t="s">
        <v>27</v>
      </c>
      <c r="C11" s="2" t="s">
        <v>28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2:19" x14ac:dyDescent="0.25">
      <c r="B12" t="s">
        <v>32</v>
      </c>
      <c r="C12" s="11" t="s">
        <v>37</v>
      </c>
      <c r="D12" t="s">
        <v>1</v>
      </c>
      <c r="E12" s="15">
        <v>10000</v>
      </c>
      <c r="F12" s="29">
        <v>15</v>
      </c>
      <c r="G12" s="15"/>
      <c r="H12" s="15"/>
      <c r="I12" s="15">
        <f t="shared" ref="I12:I18" si="3">E12-G12</f>
        <v>10000</v>
      </c>
      <c r="J12" s="15">
        <v>0</v>
      </c>
      <c r="K12" s="15">
        <v>1581.44</v>
      </c>
      <c r="L12" s="15">
        <f>K12-J12</f>
        <v>1581.44</v>
      </c>
      <c r="M12" s="15">
        <v>0</v>
      </c>
      <c r="N12" s="15">
        <f>E12*0.115+175</f>
        <v>1325</v>
      </c>
      <c r="O12" s="15">
        <f t="shared" ref="O12:O18" si="4">SUM(L12:N12)</f>
        <v>2906.44</v>
      </c>
      <c r="P12" s="18">
        <f t="shared" ref="P12:P18" si="5">I12-O12</f>
        <v>7093.5599999999995</v>
      </c>
      <c r="Q12" s="11">
        <v>285.52999999999997</v>
      </c>
      <c r="R12" s="11">
        <v>2000</v>
      </c>
      <c r="S12" s="35">
        <f>Q12+R12</f>
        <v>2285.5299999999997</v>
      </c>
    </row>
    <row r="13" spans="2:19" x14ac:dyDescent="0.25">
      <c r="B13" t="s">
        <v>33</v>
      </c>
      <c r="C13" s="11" t="s">
        <v>38</v>
      </c>
      <c r="D13" t="s">
        <v>74</v>
      </c>
      <c r="E13" s="15">
        <v>5350</v>
      </c>
      <c r="F13" s="29">
        <v>15</v>
      </c>
      <c r="G13" s="19"/>
      <c r="H13" s="19"/>
      <c r="I13" s="15">
        <f t="shared" si="3"/>
        <v>5350</v>
      </c>
      <c r="J13" s="15">
        <v>0</v>
      </c>
      <c r="K13" s="15">
        <v>586.75</v>
      </c>
      <c r="L13" s="15">
        <v>588.20000000000005</v>
      </c>
      <c r="M13" s="15">
        <v>0</v>
      </c>
      <c r="N13" s="15">
        <f>E13*0.115+93.74</f>
        <v>708.99</v>
      </c>
      <c r="O13" s="15">
        <f t="shared" si="4"/>
        <v>1297.19</v>
      </c>
      <c r="P13" s="18">
        <f t="shared" si="5"/>
        <v>4052.81</v>
      </c>
      <c r="Q13" s="11">
        <v>256.68</v>
      </c>
      <c r="R13" s="11">
        <v>1070</v>
      </c>
      <c r="S13" s="35">
        <f>Q13+R13</f>
        <v>1326.68</v>
      </c>
    </row>
    <row r="14" spans="2:19" x14ac:dyDescent="0.25">
      <c r="B14" t="s">
        <v>35</v>
      </c>
      <c r="C14" t="s">
        <v>111</v>
      </c>
      <c r="D14" t="s">
        <v>77</v>
      </c>
      <c r="E14" s="15">
        <v>6000</v>
      </c>
      <c r="F14" s="29">
        <v>15</v>
      </c>
      <c r="G14" s="15"/>
      <c r="H14" s="15"/>
      <c r="I14" s="15">
        <f t="shared" si="3"/>
        <v>6000</v>
      </c>
      <c r="J14" s="15">
        <v>0</v>
      </c>
      <c r="K14" s="15">
        <v>727.04</v>
      </c>
      <c r="L14" s="15">
        <f t="shared" ref="L14:L18" si="6">K14-J14</f>
        <v>727.04</v>
      </c>
      <c r="M14" s="15">
        <v>0</v>
      </c>
      <c r="N14" s="15">
        <f>E14*0.115</f>
        <v>690</v>
      </c>
      <c r="O14" s="15">
        <f t="shared" si="4"/>
        <v>1417.04</v>
      </c>
      <c r="P14" s="18">
        <f t="shared" si="5"/>
        <v>4582.96</v>
      </c>
      <c r="Q14" s="11">
        <v>260.72000000000003</v>
      </c>
      <c r="R14" s="11">
        <v>1200</v>
      </c>
      <c r="S14" s="35">
        <f>Q14+R14</f>
        <v>1460.72</v>
      </c>
    </row>
    <row r="15" spans="2:19" x14ac:dyDescent="0.25">
      <c r="B15" t="s">
        <v>36</v>
      </c>
      <c r="C15" t="s">
        <v>86</v>
      </c>
      <c r="D15" t="s">
        <v>39</v>
      </c>
      <c r="E15" s="15">
        <v>4500</v>
      </c>
      <c r="F15" s="29">
        <v>15</v>
      </c>
      <c r="G15" s="15"/>
      <c r="H15" s="15"/>
      <c r="I15" s="15">
        <f t="shared" si="3"/>
        <v>4500</v>
      </c>
      <c r="J15" s="15">
        <v>0</v>
      </c>
      <c r="K15" s="15">
        <v>428.97</v>
      </c>
      <c r="L15" s="15">
        <f t="shared" si="6"/>
        <v>428.97</v>
      </c>
      <c r="M15" s="15">
        <v>0</v>
      </c>
      <c r="N15" s="15">
        <f>E15*0.115+87.5</f>
        <v>605</v>
      </c>
      <c r="O15" s="15">
        <f t="shared" si="4"/>
        <v>1033.97</v>
      </c>
      <c r="P15" s="18">
        <f t="shared" si="5"/>
        <v>3466.0299999999997</v>
      </c>
      <c r="Q15" s="11">
        <v>251.41</v>
      </c>
      <c r="R15" s="11">
        <v>900</v>
      </c>
      <c r="S15" s="35">
        <f>Q15+R15</f>
        <v>1151.4100000000001</v>
      </c>
    </row>
    <row r="16" spans="2:19" x14ac:dyDescent="0.25">
      <c r="B16" t="s">
        <v>115</v>
      </c>
      <c r="C16" t="s">
        <v>87</v>
      </c>
      <c r="D16" t="s">
        <v>39</v>
      </c>
      <c r="E16" s="15">
        <v>4500</v>
      </c>
      <c r="F16" s="29">
        <v>15</v>
      </c>
      <c r="G16" s="15"/>
      <c r="H16" s="15"/>
      <c r="I16" s="15">
        <f t="shared" si="3"/>
        <v>4500</v>
      </c>
      <c r="J16" s="15">
        <v>0</v>
      </c>
      <c r="K16" s="15">
        <v>377.15</v>
      </c>
      <c r="L16" s="15">
        <v>428.97</v>
      </c>
      <c r="M16" s="15">
        <v>0</v>
      </c>
      <c r="N16" s="15">
        <f>E16*0.115+78.75</f>
        <v>596.25</v>
      </c>
      <c r="O16" s="15">
        <f t="shared" si="4"/>
        <v>1025.22</v>
      </c>
      <c r="P16" s="18">
        <f t="shared" si="5"/>
        <v>3474.7799999999997</v>
      </c>
      <c r="Q16" s="11">
        <v>251.41</v>
      </c>
      <c r="R16" s="11">
        <v>900</v>
      </c>
      <c r="S16" s="35">
        <f t="shared" ref="S16:S18" si="7">Q16+R16</f>
        <v>1151.4100000000001</v>
      </c>
    </row>
    <row r="17" spans="2:19" x14ac:dyDescent="0.25">
      <c r="B17" t="s">
        <v>116</v>
      </c>
      <c r="C17" t="s">
        <v>89</v>
      </c>
      <c r="D17" t="s">
        <v>4</v>
      </c>
      <c r="E17" s="15">
        <v>2700</v>
      </c>
      <c r="F17" s="29">
        <v>15</v>
      </c>
      <c r="G17" s="15"/>
      <c r="H17" s="15"/>
      <c r="I17" s="15">
        <f t="shared" si="3"/>
        <v>2700</v>
      </c>
      <c r="J17" s="15">
        <v>147.32</v>
      </c>
      <c r="K17" s="15">
        <v>188.33</v>
      </c>
      <c r="L17" s="15">
        <f t="shared" si="6"/>
        <v>41.010000000000019</v>
      </c>
      <c r="M17" s="15">
        <v>0</v>
      </c>
      <c r="N17" s="15">
        <f>E17*0.115+47.25</f>
        <v>357.75</v>
      </c>
      <c r="O17" s="15">
        <f t="shared" si="4"/>
        <v>398.76</v>
      </c>
      <c r="P17" s="18">
        <f t="shared" si="5"/>
        <v>2301.2399999999998</v>
      </c>
      <c r="Q17" s="11">
        <v>240.25</v>
      </c>
      <c r="R17" s="11">
        <v>540</v>
      </c>
      <c r="S17" s="35">
        <f t="shared" si="7"/>
        <v>780.25</v>
      </c>
    </row>
    <row r="18" spans="2:19" x14ac:dyDescent="0.25">
      <c r="B18" t="s">
        <v>117</v>
      </c>
      <c r="C18" t="s">
        <v>88</v>
      </c>
      <c r="D18" t="s">
        <v>40</v>
      </c>
      <c r="E18" s="15">
        <v>3150</v>
      </c>
      <c r="F18" s="29">
        <v>15</v>
      </c>
      <c r="G18" s="15"/>
      <c r="H18" s="15"/>
      <c r="I18" s="15">
        <f t="shared" si="3"/>
        <v>3150</v>
      </c>
      <c r="J18" s="15">
        <v>126.77</v>
      </c>
      <c r="K18" s="15">
        <v>237.29</v>
      </c>
      <c r="L18" s="15">
        <f t="shared" si="6"/>
        <v>110.52</v>
      </c>
      <c r="M18" s="15">
        <v>0</v>
      </c>
      <c r="N18" s="15">
        <f>E18*0.115</f>
        <v>362.25</v>
      </c>
      <c r="O18" s="15">
        <f t="shared" si="4"/>
        <v>472.77</v>
      </c>
      <c r="P18" s="18">
        <f t="shared" si="5"/>
        <v>2677.23</v>
      </c>
      <c r="Q18" s="11">
        <v>243.04</v>
      </c>
      <c r="R18" s="11">
        <v>630</v>
      </c>
      <c r="S18" s="35">
        <f t="shared" si="7"/>
        <v>873.04</v>
      </c>
    </row>
    <row r="19" spans="2:19" x14ac:dyDescent="0.25">
      <c r="B19" s="2" t="s">
        <v>26</v>
      </c>
      <c r="C19" s="30"/>
      <c r="D19" s="30"/>
      <c r="E19" s="34">
        <f>SUM(E12:E18)</f>
        <v>36200</v>
      </c>
      <c r="F19" s="34"/>
      <c r="G19" s="34">
        <f t="shared" ref="G19:S19" si="8">SUM(G12:G18)</f>
        <v>0</v>
      </c>
      <c r="H19" s="34">
        <f t="shared" si="8"/>
        <v>0</v>
      </c>
      <c r="I19" s="34">
        <f t="shared" si="8"/>
        <v>36200</v>
      </c>
      <c r="J19" s="34">
        <f t="shared" si="8"/>
        <v>274.08999999999997</v>
      </c>
      <c r="K19" s="34">
        <f t="shared" si="8"/>
        <v>4126.97</v>
      </c>
      <c r="L19" s="34">
        <f t="shared" si="8"/>
        <v>3906.150000000001</v>
      </c>
      <c r="M19" s="34">
        <f t="shared" si="8"/>
        <v>0</v>
      </c>
      <c r="N19" s="34">
        <f t="shared" si="8"/>
        <v>4645.24</v>
      </c>
      <c r="O19" s="34">
        <f t="shared" si="8"/>
        <v>8551.3900000000012</v>
      </c>
      <c r="P19" s="34">
        <f t="shared" si="8"/>
        <v>27648.609999999997</v>
      </c>
      <c r="Q19" s="34">
        <f t="shared" si="8"/>
        <v>1789.0400000000002</v>
      </c>
      <c r="R19" s="34">
        <f t="shared" si="8"/>
        <v>7240</v>
      </c>
      <c r="S19" s="34">
        <f t="shared" si="8"/>
        <v>9029.0400000000009</v>
      </c>
    </row>
    <row r="20" spans="2:19" hidden="1" x14ac:dyDescent="0.25">
      <c r="B20" s="2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2:19" x14ac:dyDescent="0.25">
      <c r="B21" s="2" t="s">
        <v>50</v>
      </c>
      <c r="C21" s="2" t="s">
        <v>160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2:19" x14ac:dyDescent="0.25">
      <c r="B22" t="s">
        <v>119</v>
      </c>
      <c r="C22" t="s">
        <v>91</v>
      </c>
      <c r="D22" t="s">
        <v>76</v>
      </c>
      <c r="E22" s="15">
        <v>5350</v>
      </c>
      <c r="F22" s="29">
        <v>15</v>
      </c>
      <c r="G22" s="15"/>
      <c r="H22" s="15"/>
      <c r="I22" s="15">
        <f>E22-G22</f>
        <v>5350</v>
      </c>
      <c r="J22" s="15">
        <v>0</v>
      </c>
      <c r="K22" s="15">
        <v>453.47</v>
      </c>
      <c r="L22" s="15">
        <v>588.20000000000005</v>
      </c>
      <c r="M22" s="15">
        <v>0</v>
      </c>
      <c r="N22" s="15">
        <f>E22*0.115+93.66</f>
        <v>708.91</v>
      </c>
      <c r="O22" s="15">
        <f>SUM(L22:N22)</f>
        <v>1297.1100000000001</v>
      </c>
      <c r="P22" s="18">
        <f>I22-O22</f>
        <v>4052.89</v>
      </c>
      <c r="Q22" s="11">
        <v>256.68</v>
      </c>
      <c r="R22" s="11">
        <v>1070</v>
      </c>
      <c r="S22" s="35">
        <f>Q22+R22</f>
        <v>1326.68</v>
      </c>
    </row>
    <row r="23" spans="2:19" x14ac:dyDescent="0.25">
      <c r="B23" t="s">
        <v>120</v>
      </c>
      <c r="C23" t="s">
        <v>93</v>
      </c>
      <c r="D23" t="s">
        <v>78</v>
      </c>
      <c r="E23" s="15">
        <v>5350</v>
      </c>
      <c r="F23" s="29">
        <v>15</v>
      </c>
      <c r="G23" s="15"/>
      <c r="H23" s="15"/>
      <c r="I23" s="15">
        <f>E23-G23</f>
        <v>5350</v>
      </c>
      <c r="J23" s="15">
        <v>0</v>
      </c>
      <c r="K23" s="15">
        <v>588.20000000000005</v>
      </c>
      <c r="L23" s="15">
        <f>K23-J23</f>
        <v>588.20000000000005</v>
      </c>
      <c r="M23" s="15">
        <v>0</v>
      </c>
      <c r="N23" s="15">
        <f>E23*0.115+93.63</f>
        <v>708.88</v>
      </c>
      <c r="O23" s="15">
        <f>SUM(L23:N23)</f>
        <v>1297.08</v>
      </c>
      <c r="P23" s="18">
        <f>I23-O23</f>
        <v>4052.92</v>
      </c>
      <c r="Q23" s="11">
        <v>256.68</v>
      </c>
      <c r="R23" s="11">
        <v>1070</v>
      </c>
      <c r="S23" s="35">
        <f>Q23+R23</f>
        <v>1326.68</v>
      </c>
    </row>
    <row r="24" spans="2:19" x14ac:dyDescent="0.25">
      <c r="B24" t="s">
        <v>121</v>
      </c>
      <c r="C24" t="s">
        <v>114</v>
      </c>
      <c r="D24" t="s">
        <v>79</v>
      </c>
      <c r="E24" s="15">
        <v>5350</v>
      </c>
      <c r="F24" s="29">
        <v>15</v>
      </c>
      <c r="G24" s="15"/>
      <c r="H24" s="15"/>
      <c r="I24" s="15">
        <f>E24-G24</f>
        <v>5350</v>
      </c>
      <c r="J24" s="15">
        <v>0</v>
      </c>
      <c r="K24" s="15">
        <v>588.20000000000005</v>
      </c>
      <c r="L24" s="15">
        <f>K24-J24</f>
        <v>588.20000000000005</v>
      </c>
      <c r="M24" s="15">
        <v>0</v>
      </c>
      <c r="N24" s="15">
        <f>E24*0.115</f>
        <v>615.25</v>
      </c>
      <c r="O24" s="15">
        <f>SUM(L24:N24)</f>
        <v>1203.45</v>
      </c>
      <c r="P24" s="18">
        <f>I24-O24</f>
        <v>4146.55</v>
      </c>
      <c r="Q24" s="11">
        <v>256.68</v>
      </c>
      <c r="R24" s="11">
        <v>1070</v>
      </c>
      <c r="S24" s="35">
        <f>Q24+R24</f>
        <v>1326.68</v>
      </c>
    </row>
    <row r="25" spans="2:19" x14ac:dyDescent="0.25">
      <c r="B25" s="2" t="s">
        <v>26</v>
      </c>
      <c r="C25" s="30"/>
      <c r="D25" s="30"/>
      <c r="E25" s="34">
        <f>SUM(E22:E24)</f>
        <v>16050</v>
      </c>
      <c r="F25" s="34"/>
      <c r="G25" s="34">
        <f>SUM(G22:G24)</f>
        <v>0</v>
      </c>
      <c r="H25" s="34">
        <f>SUM(H22:H24)</f>
        <v>0</v>
      </c>
      <c r="I25" s="34">
        <f t="shared" ref="I25:S25" si="9">SUM(I22:I24)</f>
        <v>16050</v>
      </c>
      <c r="J25" s="34">
        <f t="shared" si="9"/>
        <v>0</v>
      </c>
      <c r="K25" s="34">
        <f t="shared" si="9"/>
        <v>1629.8700000000001</v>
      </c>
      <c r="L25" s="34">
        <f t="shared" si="9"/>
        <v>1764.6000000000001</v>
      </c>
      <c r="M25" s="34">
        <f t="shared" si="9"/>
        <v>0</v>
      </c>
      <c r="N25" s="34">
        <f t="shared" si="9"/>
        <v>2033.04</v>
      </c>
      <c r="O25" s="34">
        <f t="shared" si="9"/>
        <v>3797.6400000000003</v>
      </c>
      <c r="P25" s="34">
        <f t="shared" si="9"/>
        <v>12252.36</v>
      </c>
      <c r="Q25" s="34">
        <f t="shared" si="9"/>
        <v>770.04</v>
      </c>
      <c r="R25" s="34">
        <f t="shared" si="9"/>
        <v>3210</v>
      </c>
      <c r="S25" s="34">
        <f t="shared" si="9"/>
        <v>3980.04</v>
      </c>
    </row>
    <row r="26" spans="2:19" hidden="1" x14ac:dyDescent="0.25"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2:19" x14ac:dyDescent="0.25">
      <c r="B27" s="2" t="s">
        <v>63</v>
      </c>
      <c r="C27" s="2" t="s">
        <v>51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2:19" x14ac:dyDescent="0.25">
      <c r="B28" t="s">
        <v>122</v>
      </c>
      <c r="C28" t="s">
        <v>97</v>
      </c>
      <c r="D28" t="s">
        <v>80</v>
      </c>
      <c r="E28" s="15">
        <v>5350</v>
      </c>
      <c r="F28" s="29">
        <v>15</v>
      </c>
      <c r="G28" s="15"/>
      <c r="H28" s="15"/>
      <c r="I28" s="15">
        <f t="shared" ref="I28:I38" si="10">E28-G28</f>
        <v>5350</v>
      </c>
      <c r="J28" s="15">
        <v>0</v>
      </c>
      <c r="K28" s="15">
        <v>588.20000000000005</v>
      </c>
      <c r="L28" s="15">
        <f>K28-J28</f>
        <v>588.20000000000005</v>
      </c>
      <c r="M28" s="15">
        <v>0</v>
      </c>
      <c r="N28" s="15">
        <f>E28*0.115+93.65</f>
        <v>708.9</v>
      </c>
      <c r="O28" s="15">
        <f t="shared" ref="O28:O38" si="11">SUM(L28:N28)</f>
        <v>1297.0999999999999</v>
      </c>
      <c r="P28" s="18">
        <f t="shared" ref="P28:P38" si="12">I28-O28</f>
        <v>4052.9</v>
      </c>
      <c r="Q28" s="11">
        <v>256.68</v>
      </c>
      <c r="R28" s="11">
        <v>1070</v>
      </c>
      <c r="S28" s="35">
        <f t="shared" ref="S28:S38" si="13">Q28+R28</f>
        <v>1326.68</v>
      </c>
    </row>
    <row r="29" spans="2:19" x14ac:dyDescent="0.25">
      <c r="B29" t="s">
        <v>123</v>
      </c>
      <c r="C29" t="s">
        <v>100</v>
      </c>
      <c r="D29" t="s">
        <v>80</v>
      </c>
      <c r="E29" s="15">
        <v>5350</v>
      </c>
      <c r="F29" s="29">
        <v>15</v>
      </c>
      <c r="G29" s="11">
        <v>38.25</v>
      </c>
      <c r="H29" s="20"/>
      <c r="I29" s="20">
        <f t="shared" si="10"/>
        <v>5311.75</v>
      </c>
      <c r="J29" s="20">
        <v>0</v>
      </c>
      <c r="K29" s="20">
        <v>587.48</v>
      </c>
      <c r="L29" s="20">
        <v>580.03</v>
      </c>
      <c r="M29" s="15">
        <v>0</v>
      </c>
      <c r="N29" s="15">
        <f>E29*0.115+93.71</f>
        <v>708.96</v>
      </c>
      <c r="O29" s="15">
        <f t="shared" si="11"/>
        <v>1288.99</v>
      </c>
      <c r="P29" s="18">
        <f t="shared" si="12"/>
        <v>4022.76</v>
      </c>
      <c r="Q29" s="11">
        <v>256.68</v>
      </c>
      <c r="R29" s="11">
        <v>1070</v>
      </c>
      <c r="S29" s="35">
        <f t="shared" si="13"/>
        <v>1326.68</v>
      </c>
    </row>
    <row r="30" spans="2:19" x14ac:dyDescent="0.25">
      <c r="B30" t="s">
        <v>124</v>
      </c>
      <c r="C30" t="s">
        <v>96</v>
      </c>
      <c r="D30" t="s">
        <v>78</v>
      </c>
      <c r="E30" s="15">
        <v>5350</v>
      </c>
      <c r="F30" s="29">
        <v>15</v>
      </c>
      <c r="G30" s="20"/>
      <c r="H30" s="20"/>
      <c r="I30" s="20">
        <f t="shared" si="10"/>
        <v>5350</v>
      </c>
      <c r="J30" s="20">
        <v>0</v>
      </c>
      <c r="K30" s="20">
        <v>588.20000000000005</v>
      </c>
      <c r="L30" s="20">
        <f t="shared" ref="L30:L38" si="14">K30-J30</f>
        <v>588.20000000000005</v>
      </c>
      <c r="M30" s="15">
        <v>0</v>
      </c>
      <c r="N30" s="15">
        <f>E30*0.115+99.88</f>
        <v>715.13</v>
      </c>
      <c r="O30" s="15">
        <f t="shared" si="11"/>
        <v>1303.33</v>
      </c>
      <c r="P30" s="18">
        <f t="shared" si="12"/>
        <v>4046.67</v>
      </c>
      <c r="Q30" s="11">
        <v>256.68</v>
      </c>
      <c r="R30" s="11">
        <v>1070</v>
      </c>
      <c r="S30" s="35">
        <f t="shared" si="13"/>
        <v>1326.68</v>
      </c>
    </row>
    <row r="31" spans="2:19" x14ac:dyDescent="0.25">
      <c r="B31" t="s">
        <v>125</v>
      </c>
      <c r="C31" t="s">
        <v>104</v>
      </c>
      <c r="D31" t="s">
        <v>78</v>
      </c>
      <c r="E31" s="15">
        <v>5350</v>
      </c>
      <c r="F31" s="29">
        <v>15</v>
      </c>
      <c r="G31" s="20"/>
      <c r="H31" s="20"/>
      <c r="I31" s="20">
        <f t="shared" si="10"/>
        <v>5350</v>
      </c>
      <c r="J31" s="20">
        <v>0</v>
      </c>
      <c r="K31" s="20">
        <v>588.20000000000005</v>
      </c>
      <c r="L31" s="20">
        <f t="shared" si="14"/>
        <v>588.20000000000005</v>
      </c>
      <c r="M31" s="15">
        <v>0</v>
      </c>
      <c r="N31" s="15">
        <f t="shared" ref="N31:N38" si="15">E31*0.115+93.63</f>
        <v>708.88</v>
      </c>
      <c r="O31" s="15">
        <f t="shared" si="11"/>
        <v>1297.08</v>
      </c>
      <c r="P31" s="18">
        <f t="shared" si="12"/>
        <v>4052.92</v>
      </c>
      <c r="Q31" s="11">
        <v>256.68</v>
      </c>
      <c r="R31" s="11">
        <v>1070</v>
      </c>
      <c r="S31" s="35">
        <f t="shared" si="13"/>
        <v>1326.68</v>
      </c>
    </row>
    <row r="32" spans="2:19" x14ac:dyDescent="0.25">
      <c r="B32" t="s">
        <v>126</v>
      </c>
      <c r="C32" t="s">
        <v>94</v>
      </c>
      <c r="D32" t="s">
        <v>81</v>
      </c>
      <c r="E32" s="15">
        <v>5350</v>
      </c>
      <c r="F32" s="29">
        <v>15</v>
      </c>
      <c r="G32" s="20">
        <v>0.85</v>
      </c>
      <c r="H32" s="20"/>
      <c r="I32" s="20">
        <f t="shared" si="10"/>
        <v>5349.15</v>
      </c>
      <c r="J32" s="20">
        <v>0</v>
      </c>
      <c r="K32" s="20">
        <v>517.23</v>
      </c>
      <c r="L32" s="20">
        <v>588.02</v>
      </c>
      <c r="M32" s="15">
        <v>0</v>
      </c>
      <c r="N32" s="15">
        <f t="shared" si="15"/>
        <v>708.88</v>
      </c>
      <c r="O32" s="15">
        <f t="shared" si="11"/>
        <v>1296.9000000000001</v>
      </c>
      <c r="P32" s="18">
        <f t="shared" si="12"/>
        <v>4052.2499999999995</v>
      </c>
      <c r="Q32" s="11">
        <v>256.68</v>
      </c>
      <c r="R32" s="11">
        <v>1070</v>
      </c>
      <c r="S32" s="35">
        <f t="shared" si="13"/>
        <v>1326.68</v>
      </c>
    </row>
    <row r="33" spans="2:19" x14ac:dyDescent="0.25">
      <c r="B33" t="s">
        <v>127</v>
      </c>
      <c r="C33" t="s">
        <v>98</v>
      </c>
      <c r="D33" t="s">
        <v>81</v>
      </c>
      <c r="E33" s="15">
        <v>5350</v>
      </c>
      <c r="F33" s="29">
        <v>15</v>
      </c>
      <c r="G33" s="20"/>
      <c r="H33" s="20"/>
      <c r="I33" s="20">
        <f t="shared" si="10"/>
        <v>5350</v>
      </c>
      <c r="J33" s="20">
        <v>0</v>
      </c>
      <c r="K33" s="20">
        <v>588.20000000000005</v>
      </c>
      <c r="L33" s="20">
        <f t="shared" si="14"/>
        <v>588.20000000000005</v>
      </c>
      <c r="M33" s="15">
        <v>0</v>
      </c>
      <c r="N33" s="15">
        <f t="shared" si="15"/>
        <v>708.88</v>
      </c>
      <c r="O33" s="15">
        <f t="shared" si="11"/>
        <v>1297.08</v>
      </c>
      <c r="P33" s="18">
        <f t="shared" si="12"/>
        <v>4052.92</v>
      </c>
      <c r="Q33" s="11">
        <v>256.68</v>
      </c>
      <c r="R33" s="11">
        <v>1070</v>
      </c>
      <c r="S33" s="35">
        <f t="shared" si="13"/>
        <v>1326.68</v>
      </c>
    </row>
    <row r="34" spans="2:19" x14ac:dyDescent="0.25">
      <c r="B34" t="s">
        <v>128</v>
      </c>
      <c r="C34" t="s">
        <v>101</v>
      </c>
      <c r="D34" t="s">
        <v>81</v>
      </c>
      <c r="E34" s="15">
        <v>5350</v>
      </c>
      <c r="F34" s="29">
        <v>15</v>
      </c>
      <c r="G34" s="20">
        <v>0.85</v>
      </c>
      <c r="H34" s="20"/>
      <c r="I34" s="20">
        <f t="shared" si="10"/>
        <v>5349.15</v>
      </c>
      <c r="J34" s="20">
        <v>0</v>
      </c>
      <c r="K34" s="20">
        <v>586.03</v>
      </c>
      <c r="L34" s="20">
        <v>588.02</v>
      </c>
      <c r="M34" s="15">
        <v>0</v>
      </c>
      <c r="N34" s="15">
        <f t="shared" si="15"/>
        <v>708.88</v>
      </c>
      <c r="O34" s="15">
        <f t="shared" si="11"/>
        <v>1296.9000000000001</v>
      </c>
      <c r="P34" s="18">
        <f t="shared" si="12"/>
        <v>4052.2499999999995</v>
      </c>
      <c r="Q34" s="11">
        <v>256.68</v>
      </c>
      <c r="R34" s="11">
        <v>1070</v>
      </c>
      <c r="S34" s="35">
        <f t="shared" si="13"/>
        <v>1326.68</v>
      </c>
    </row>
    <row r="35" spans="2:19" x14ac:dyDescent="0.25">
      <c r="B35" t="s">
        <v>129</v>
      </c>
      <c r="C35" t="s">
        <v>95</v>
      </c>
      <c r="D35" t="s">
        <v>82</v>
      </c>
      <c r="E35" s="15">
        <v>5350</v>
      </c>
      <c r="F35" s="29">
        <v>15</v>
      </c>
      <c r="G35" s="15"/>
      <c r="H35" s="15"/>
      <c r="I35" s="15">
        <f t="shared" si="10"/>
        <v>5350</v>
      </c>
      <c r="J35" s="15">
        <v>0</v>
      </c>
      <c r="K35" s="15">
        <v>588.20000000000005</v>
      </c>
      <c r="L35" s="15">
        <f t="shared" si="14"/>
        <v>588.20000000000005</v>
      </c>
      <c r="M35" s="15">
        <v>0</v>
      </c>
      <c r="N35" s="15">
        <f t="shared" si="15"/>
        <v>708.88</v>
      </c>
      <c r="O35" s="15">
        <f t="shared" si="11"/>
        <v>1297.08</v>
      </c>
      <c r="P35" s="18">
        <f t="shared" si="12"/>
        <v>4052.92</v>
      </c>
      <c r="Q35" s="11">
        <v>256.68</v>
      </c>
      <c r="R35" s="11">
        <v>1070</v>
      </c>
      <c r="S35" s="35">
        <f t="shared" si="13"/>
        <v>1326.68</v>
      </c>
    </row>
    <row r="36" spans="2:19" x14ac:dyDescent="0.25">
      <c r="B36" t="s">
        <v>130</v>
      </c>
      <c r="C36" t="s">
        <v>102</v>
      </c>
      <c r="D36" t="s">
        <v>82</v>
      </c>
      <c r="E36" s="15">
        <v>5350</v>
      </c>
      <c r="F36" s="29">
        <v>15</v>
      </c>
      <c r="G36" s="15"/>
      <c r="H36" s="15"/>
      <c r="I36" s="15">
        <f t="shared" si="10"/>
        <v>5350</v>
      </c>
      <c r="J36" s="15">
        <v>0</v>
      </c>
      <c r="K36" s="15">
        <v>586.03</v>
      </c>
      <c r="L36" s="15">
        <v>588.20000000000005</v>
      </c>
      <c r="M36" s="15">
        <v>0</v>
      </c>
      <c r="N36" s="15">
        <f t="shared" si="15"/>
        <v>708.88</v>
      </c>
      <c r="O36" s="15">
        <f t="shared" si="11"/>
        <v>1297.08</v>
      </c>
      <c r="P36" s="18">
        <f t="shared" si="12"/>
        <v>4052.92</v>
      </c>
      <c r="Q36" s="11">
        <v>256.68</v>
      </c>
      <c r="R36" s="11">
        <v>1070</v>
      </c>
      <c r="S36" s="35">
        <f t="shared" si="13"/>
        <v>1326.68</v>
      </c>
    </row>
    <row r="37" spans="2:19" x14ac:dyDescent="0.25">
      <c r="B37" t="s">
        <v>131</v>
      </c>
      <c r="C37" t="s">
        <v>85</v>
      </c>
      <c r="D37" t="s">
        <v>83</v>
      </c>
      <c r="E37" s="15">
        <v>5350</v>
      </c>
      <c r="F37" s="29">
        <v>15</v>
      </c>
      <c r="G37" s="15"/>
      <c r="H37" s="15"/>
      <c r="I37" s="15">
        <f t="shared" si="10"/>
        <v>5350</v>
      </c>
      <c r="J37" s="15">
        <v>0</v>
      </c>
      <c r="K37" s="15">
        <v>588.20000000000005</v>
      </c>
      <c r="L37" s="15">
        <f t="shared" si="14"/>
        <v>588.20000000000005</v>
      </c>
      <c r="M37" s="15">
        <v>0</v>
      </c>
      <c r="N37" s="15">
        <f t="shared" si="15"/>
        <v>708.88</v>
      </c>
      <c r="O37" s="15">
        <f t="shared" si="11"/>
        <v>1297.08</v>
      </c>
      <c r="P37" s="18">
        <f t="shared" si="12"/>
        <v>4052.92</v>
      </c>
      <c r="Q37" s="11">
        <v>256.68</v>
      </c>
      <c r="R37" s="11">
        <v>1070</v>
      </c>
      <c r="S37" s="35">
        <f t="shared" si="13"/>
        <v>1326.68</v>
      </c>
    </row>
    <row r="38" spans="2:19" x14ac:dyDescent="0.25">
      <c r="B38" t="s">
        <v>132</v>
      </c>
      <c r="C38" t="s">
        <v>103</v>
      </c>
      <c r="D38" t="s">
        <v>83</v>
      </c>
      <c r="E38" s="15">
        <v>5350</v>
      </c>
      <c r="F38" s="29">
        <v>15</v>
      </c>
      <c r="G38" s="15"/>
      <c r="H38" s="15"/>
      <c r="I38" s="15">
        <f t="shared" si="10"/>
        <v>5350</v>
      </c>
      <c r="J38" s="15">
        <v>0</v>
      </c>
      <c r="K38" s="15">
        <v>588.20000000000005</v>
      </c>
      <c r="L38" s="15">
        <f t="shared" si="14"/>
        <v>588.20000000000005</v>
      </c>
      <c r="M38" s="15">
        <v>0</v>
      </c>
      <c r="N38" s="15">
        <f t="shared" si="15"/>
        <v>708.88</v>
      </c>
      <c r="O38" s="15">
        <f t="shared" si="11"/>
        <v>1297.08</v>
      </c>
      <c r="P38" s="18">
        <f t="shared" si="12"/>
        <v>4052.92</v>
      </c>
      <c r="Q38" s="11">
        <v>256.68</v>
      </c>
      <c r="R38" s="11">
        <v>1070</v>
      </c>
      <c r="S38" s="35">
        <f t="shared" si="13"/>
        <v>1326.68</v>
      </c>
    </row>
    <row r="39" spans="2:19" x14ac:dyDescent="0.25">
      <c r="B39" s="2" t="s">
        <v>26</v>
      </c>
      <c r="C39" s="30"/>
      <c r="D39" s="30"/>
      <c r="E39" s="34">
        <f>SUM(E28:E38)</f>
        <v>58850</v>
      </c>
      <c r="F39" s="34"/>
      <c r="G39" s="34">
        <f>SUM(G28:G38)</f>
        <v>39.950000000000003</v>
      </c>
      <c r="H39" s="34">
        <f>SUM(H28:H38)</f>
        <v>0</v>
      </c>
      <c r="I39" s="34">
        <f>SUM(I28:I38)</f>
        <v>58810.05</v>
      </c>
      <c r="J39" s="34">
        <f t="shared" ref="J39:S39" si="16">SUM(J28:J38)</f>
        <v>0</v>
      </c>
      <c r="K39" s="34">
        <f t="shared" si="16"/>
        <v>6394.1699999999992</v>
      </c>
      <c r="L39" s="34">
        <f t="shared" si="16"/>
        <v>6461.67</v>
      </c>
      <c r="M39" s="34">
        <f t="shared" si="16"/>
        <v>0</v>
      </c>
      <c r="N39" s="34">
        <f t="shared" si="16"/>
        <v>7804.0300000000007</v>
      </c>
      <c r="O39" s="34">
        <f t="shared" si="16"/>
        <v>14265.699999999999</v>
      </c>
      <c r="P39" s="34">
        <f t="shared" si="16"/>
        <v>44544.349999999991</v>
      </c>
      <c r="Q39" s="34">
        <f t="shared" si="16"/>
        <v>2823.4799999999996</v>
      </c>
      <c r="R39" s="34">
        <f t="shared" si="16"/>
        <v>11770</v>
      </c>
      <c r="S39" s="34">
        <f t="shared" si="16"/>
        <v>14593.480000000001</v>
      </c>
    </row>
    <row r="40" spans="2:19" hidden="1" x14ac:dyDescent="0.25"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2:19" x14ac:dyDescent="0.25">
      <c r="B41" s="2" t="s">
        <v>140</v>
      </c>
      <c r="C41" s="2" t="s">
        <v>64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2:19" x14ac:dyDescent="0.25">
      <c r="B42" t="s">
        <v>133</v>
      </c>
      <c r="C42" t="s">
        <v>99</v>
      </c>
      <c r="D42" t="s">
        <v>80</v>
      </c>
      <c r="E42" s="15">
        <v>5350</v>
      </c>
      <c r="F42" s="29">
        <v>15</v>
      </c>
      <c r="G42" s="20">
        <v>42.5</v>
      </c>
      <c r="H42" s="20"/>
      <c r="I42" s="20">
        <f>E42-G42</f>
        <v>5307.5</v>
      </c>
      <c r="J42" s="20">
        <v>0</v>
      </c>
      <c r="K42" s="20">
        <v>586.21</v>
      </c>
      <c r="L42" s="20">
        <v>579.12</v>
      </c>
      <c r="M42" s="15">
        <v>0</v>
      </c>
      <c r="N42" s="15">
        <f>I42*0.115+101.23</f>
        <v>711.59250000000009</v>
      </c>
      <c r="O42" s="15">
        <f>SUM(L42:N42)</f>
        <v>1290.7125000000001</v>
      </c>
      <c r="P42" s="18">
        <f>I42-O42</f>
        <v>4016.7874999999999</v>
      </c>
      <c r="Q42" s="11">
        <v>256.68</v>
      </c>
      <c r="R42" s="11">
        <v>1070</v>
      </c>
      <c r="S42" s="35">
        <f t="shared" ref="S42:S43" si="17">Q42+R42</f>
        <v>1326.68</v>
      </c>
    </row>
    <row r="43" spans="2:19" x14ac:dyDescent="0.25">
      <c r="B43" t="s">
        <v>152</v>
      </c>
      <c r="C43" t="s">
        <v>92</v>
      </c>
      <c r="D43" t="s">
        <v>80</v>
      </c>
      <c r="E43" s="15">
        <v>5350</v>
      </c>
      <c r="F43" s="29">
        <v>15</v>
      </c>
      <c r="G43" s="15"/>
      <c r="H43" s="15"/>
      <c r="I43" s="15">
        <f>E43-G43</f>
        <v>5350</v>
      </c>
      <c r="J43" s="15">
        <v>0</v>
      </c>
      <c r="K43" s="15">
        <v>588.20000000000005</v>
      </c>
      <c r="L43" s="15">
        <v>588.20000000000005</v>
      </c>
      <c r="M43" s="15">
        <v>0</v>
      </c>
      <c r="N43" s="15">
        <f>I43*0.115</f>
        <v>615.25</v>
      </c>
      <c r="O43" s="15">
        <f>SUM(L43:N43)</f>
        <v>1203.45</v>
      </c>
      <c r="P43" s="18">
        <f>I43-O43</f>
        <v>4146.55</v>
      </c>
      <c r="Q43" s="11">
        <v>256.68</v>
      </c>
      <c r="R43" s="11">
        <v>1070</v>
      </c>
      <c r="S43" s="35">
        <f t="shared" si="17"/>
        <v>1326.68</v>
      </c>
    </row>
    <row r="44" spans="2:19" x14ac:dyDescent="0.25">
      <c r="B44" s="2" t="s">
        <v>26</v>
      </c>
      <c r="C44" s="30"/>
      <c r="D44" s="30"/>
      <c r="E44" s="34">
        <f>E42+E43</f>
        <v>10700</v>
      </c>
      <c r="F44" s="34"/>
      <c r="G44" s="34">
        <f>G42+G43</f>
        <v>42.5</v>
      </c>
      <c r="H44" s="34">
        <f>H42+H43</f>
        <v>0</v>
      </c>
      <c r="I44" s="34">
        <f t="shared" ref="I44:S44" si="18">I42+I43</f>
        <v>10657.5</v>
      </c>
      <c r="J44" s="34">
        <f t="shared" si="18"/>
        <v>0</v>
      </c>
      <c r="K44" s="34">
        <f t="shared" si="18"/>
        <v>1174.4100000000001</v>
      </c>
      <c r="L44" s="34">
        <f t="shared" si="18"/>
        <v>1167.3200000000002</v>
      </c>
      <c r="M44" s="34">
        <f t="shared" si="18"/>
        <v>0</v>
      </c>
      <c r="N44" s="34">
        <f t="shared" si="18"/>
        <v>1326.8425000000002</v>
      </c>
      <c r="O44" s="34">
        <f t="shared" si="18"/>
        <v>2494.1625000000004</v>
      </c>
      <c r="P44" s="34">
        <f t="shared" si="18"/>
        <v>8163.3374999999996</v>
      </c>
      <c r="Q44" s="34">
        <f t="shared" si="18"/>
        <v>513.36</v>
      </c>
      <c r="R44" s="34">
        <f t="shared" si="18"/>
        <v>2140</v>
      </c>
      <c r="S44" s="34">
        <f t="shared" si="18"/>
        <v>2653.36</v>
      </c>
    </row>
    <row r="45" spans="2:19" hidden="1" x14ac:dyDescent="0.25">
      <c r="B45" s="2"/>
      <c r="E45" s="15"/>
      <c r="F45" s="15"/>
      <c r="G45" s="15"/>
      <c r="H45" s="15"/>
      <c r="I45" s="16"/>
      <c r="J45" s="16"/>
      <c r="K45" s="16"/>
      <c r="L45" s="16"/>
      <c r="M45" s="16"/>
      <c r="N45" s="16"/>
      <c r="O45" s="16"/>
      <c r="P45" s="16"/>
      <c r="Q45" s="8"/>
      <c r="R45" s="8"/>
      <c r="S45" s="8"/>
    </row>
    <row r="46" spans="2:19" x14ac:dyDescent="0.25">
      <c r="B46" s="2" t="s">
        <v>161</v>
      </c>
      <c r="C46" s="2" t="s">
        <v>162</v>
      </c>
      <c r="E46" s="15"/>
      <c r="F46" s="15"/>
      <c r="G46" s="15"/>
      <c r="H46" s="15"/>
      <c r="I46" s="16"/>
      <c r="J46" s="16"/>
      <c r="K46" s="16"/>
      <c r="L46" s="16"/>
      <c r="M46" s="16"/>
      <c r="N46" s="16"/>
      <c r="O46" s="16"/>
      <c r="P46" s="16"/>
      <c r="Q46" s="8"/>
      <c r="R46" s="8"/>
      <c r="S46" s="8"/>
    </row>
    <row r="47" spans="2:19" x14ac:dyDescent="0.25">
      <c r="B47" t="s">
        <v>163</v>
      </c>
      <c r="C47" s="11" t="s">
        <v>42</v>
      </c>
      <c r="D47" t="s">
        <v>2</v>
      </c>
      <c r="E47" s="15">
        <v>10000</v>
      </c>
      <c r="F47" s="29">
        <v>15</v>
      </c>
      <c r="G47" s="15"/>
      <c r="H47" s="15"/>
      <c r="I47" s="15">
        <f>E47-G47</f>
        <v>10000</v>
      </c>
      <c r="J47" s="15">
        <v>0</v>
      </c>
      <c r="K47" s="15">
        <v>1581.44</v>
      </c>
      <c r="L47" s="15">
        <f>K47-J47</f>
        <v>1581.44</v>
      </c>
      <c r="M47" s="15">
        <v>0</v>
      </c>
      <c r="N47" s="15">
        <f>E47*0.115+175</f>
        <v>1325</v>
      </c>
      <c r="O47" s="15">
        <f>SUM(L47:N47)</f>
        <v>2906.44</v>
      </c>
      <c r="P47" s="18">
        <f>I47-O47</f>
        <v>7093.5599999999995</v>
      </c>
      <c r="Q47" s="11">
        <v>285.52999999999997</v>
      </c>
      <c r="R47" s="11">
        <v>2000</v>
      </c>
      <c r="S47" s="35">
        <f>Q47+R47</f>
        <v>2285.5299999999997</v>
      </c>
    </row>
    <row r="48" spans="2:19" x14ac:dyDescent="0.25">
      <c r="B48" s="2" t="s">
        <v>26</v>
      </c>
      <c r="E48" s="34">
        <f>E47</f>
        <v>10000</v>
      </c>
      <c r="F48" s="34"/>
      <c r="G48" s="34">
        <f>G47</f>
        <v>0</v>
      </c>
      <c r="H48" s="34">
        <f>H47</f>
        <v>0</v>
      </c>
      <c r="I48" s="34">
        <f t="shared" ref="I48:S48" si="19">I47</f>
        <v>10000</v>
      </c>
      <c r="J48" s="34">
        <f t="shared" si="19"/>
        <v>0</v>
      </c>
      <c r="K48" s="34">
        <f t="shared" si="19"/>
        <v>1581.44</v>
      </c>
      <c r="L48" s="34">
        <f t="shared" si="19"/>
        <v>1581.44</v>
      </c>
      <c r="M48" s="34">
        <f t="shared" si="19"/>
        <v>0</v>
      </c>
      <c r="N48" s="34">
        <f t="shared" si="19"/>
        <v>1325</v>
      </c>
      <c r="O48" s="34">
        <f t="shared" si="19"/>
        <v>2906.44</v>
      </c>
      <c r="P48" s="34">
        <f t="shared" si="19"/>
        <v>7093.5599999999995</v>
      </c>
      <c r="Q48" s="34">
        <f t="shared" si="19"/>
        <v>285.52999999999997</v>
      </c>
      <c r="R48" s="34">
        <f t="shared" si="19"/>
        <v>2000</v>
      </c>
      <c r="S48" s="34">
        <f t="shared" si="19"/>
        <v>2285.5299999999997</v>
      </c>
    </row>
    <row r="49" spans="2:19" ht="12" customHeight="1" x14ac:dyDescent="0.25">
      <c r="B49" s="2"/>
      <c r="E49" s="15"/>
      <c r="F49" s="15"/>
      <c r="G49" s="15"/>
      <c r="H49" s="15"/>
      <c r="I49" s="16"/>
      <c r="J49" s="16"/>
      <c r="K49" s="16"/>
      <c r="L49" s="16"/>
      <c r="M49" s="16"/>
      <c r="N49" s="16"/>
      <c r="O49" s="16"/>
      <c r="P49" s="16"/>
      <c r="Q49" s="8"/>
      <c r="R49" s="8"/>
      <c r="S49" s="8"/>
    </row>
    <row r="50" spans="2:19" hidden="1" x14ac:dyDescent="0.25"/>
    <row r="51" spans="2:19" ht="18.75" x14ac:dyDescent="0.3">
      <c r="C51" s="53" t="s">
        <v>105</v>
      </c>
      <c r="E51" s="17">
        <f>E9+E19+E25+E39+E44+E48</f>
        <v>153604.95000000001</v>
      </c>
      <c r="F51" s="17"/>
      <c r="G51" s="17">
        <f t="shared" ref="G51:S51" si="20">G9+G19+G25+G39+G44+G48</f>
        <v>82.45</v>
      </c>
      <c r="H51" s="17">
        <f t="shared" si="20"/>
        <v>0</v>
      </c>
      <c r="I51" s="17">
        <f t="shared" si="20"/>
        <v>153522.5</v>
      </c>
      <c r="J51" s="17">
        <f t="shared" si="20"/>
        <v>274.08999999999997</v>
      </c>
      <c r="K51" s="17">
        <f t="shared" si="20"/>
        <v>18645.48</v>
      </c>
      <c r="L51" s="17">
        <f t="shared" si="20"/>
        <v>18619.8</v>
      </c>
      <c r="M51" s="17">
        <f t="shared" si="20"/>
        <v>0</v>
      </c>
      <c r="N51" s="17">
        <f t="shared" si="20"/>
        <v>20023.311750000001</v>
      </c>
      <c r="O51" s="17">
        <f t="shared" si="20"/>
        <v>38643.111750000004</v>
      </c>
      <c r="P51" s="54">
        <f t="shared" si="20"/>
        <v>114879.38824999999</v>
      </c>
      <c r="Q51" s="17">
        <f t="shared" si="20"/>
        <v>6763.6999999999989</v>
      </c>
      <c r="R51" s="17">
        <f t="shared" si="20"/>
        <v>30720.989999999998</v>
      </c>
      <c r="S51" s="55">
        <f t="shared" si="20"/>
        <v>37484.69</v>
      </c>
    </row>
    <row r="54" spans="2:19" ht="15.75" thickBot="1" x14ac:dyDescent="0.3">
      <c r="E54" s="375"/>
      <c r="F54" s="375"/>
      <c r="N54" s="376"/>
      <c r="O54" s="376"/>
    </row>
    <row r="55" spans="2:19" x14ac:dyDescent="0.25">
      <c r="E55" s="377" t="s">
        <v>172</v>
      </c>
      <c r="F55" s="377"/>
      <c r="N55" s="26"/>
      <c r="O55" s="26"/>
      <c r="P55" s="378" t="s">
        <v>157</v>
      </c>
      <c r="Q55" s="378"/>
    </row>
    <row r="59" spans="2:19" x14ac:dyDescent="0.25">
      <c r="C59" t="s">
        <v>174</v>
      </c>
    </row>
  </sheetData>
  <mergeCells count="5">
    <mergeCell ref="E54:F54"/>
    <mergeCell ref="N54:O54"/>
    <mergeCell ref="E55:F55"/>
    <mergeCell ref="B4:S4"/>
    <mergeCell ref="P55:Q55"/>
  </mergeCells>
  <pageMargins left="0.51181102362204722" right="0.51181102362204722" top="0.15748031496062992" bottom="0.35433070866141736" header="0.31496062992125984" footer="0.31496062992125984"/>
  <pageSetup paperSize="300" scale="60" fitToHeight="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T60"/>
  <sheetViews>
    <sheetView topLeftCell="C26" workbookViewId="0">
      <selection activeCell="Q52" sqref="Q52"/>
    </sheetView>
  </sheetViews>
  <sheetFormatPr baseColWidth="10" defaultRowHeight="15" x14ac:dyDescent="0.25"/>
  <cols>
    <col min="1" max="1" width="0.7109375" customWidth="1"/>
    <col min="2" max="2" width="16.5703125" customWidth="1"/>
    <col min="3" max="3" width="34.140625" customWidth="1"/>
    <col min="4" max="4" width="29.28515625" customWidth="1"/>
    <col min="5" max="5" width="18.42578125" customWidth="1"/>
    <col min="8" max="8" width="13.85546875" customWidth="1"/>
    <col min="9" max="9" width="0" hidden="1" customWidth="1"/>
    <col min="10" max="10" width="14.42578125" customWidth="1"/>
    <col min="11" max="11" width="9.42578125" customWidth="1"/>
    <col min="12" max="12" width="14.42578125" customWidth="1"/>
    <col min="13" max="13" width="12.7109375" customWidth="1"/>
    <col min="14" max="14" width="11.42578125" hidden="1" customWidth="1"/>
    <col min="15" max="15" width="12.85546875" customWidth="1"/>
    <col min="16" max="16" width="16.5703125" customWidth="1"/>
    <col min="17" max="17" width="18.28515625" customWidth="1"/>
    <col min="18" max="18" width="16.140625" customWidth="1"/>
    <col min="19" max="19" width="14.85546875" customWidth="1"/>
    <col min="20" max="20" width="17" customWidth="1"/>
  </cols>
  <sheetData>
    <row r="3" spans="2:20" x14ac:dyDescent="0.25"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2:20" ht="16.5" customHeight="1" x14ac:dyDescent="0.25">
      <c r="B4" s="372" t="s">
        <v>176</v>
      </c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</row>
    <row r="5" spans="2:20" s="56" customFormat="1" ht="39.75" customHeight="1" thickBot="1" x14ac:dyDescent="0.3">
      <c r="B5" s="42" t="s">
        <v>9</v>
      </c>
      <c r="C5" s="43" t="s">
        <v>10</v>
      </c>
      <c r="D5" s="43" t="s">
        <v>0</v>
      </c>
      <c r="E5" s="44" t="s">
        <v>11</v>
      </c>
      <c r="F5" s="44" t="s">
        <v>150</v>
      </c>
      <c r="G5" s="61" t="s">
        <v>180</v>
      </c>
      <c r="H5" s="45" t="s">
        <v>169</v>
      </c>
      <c r="I5" s="44" t="s">
        <v>170</v>
      </c>
      <c r="J5" s="44" t="s">
        <v>12</v>
      </c>
      <c r="K5" s="44" t="s">
        <v>107</v>
      </c>
      <c r="L5" s="44" t="s">
        <v>143</v>
      </c>
      <c r="M5" s="44" t="s">
        <v>13</v>
      </c>
      <c r="N5" s="44" t="s">
        <v>171</v>
      </c>
      <c r="O5" s="44" t="s">
        <v>16</v>
      </c>
      <c r="P5" s="44" t="s">
        <v>17</v>
      </c>
      <c r="Q5" s="44" t="s">
        <v>72</v>
      </c>
      <c r="R5" s="43" t="s">
        <v>8</v>
      </c>
      <c r="S5" s="43" t="s">
        <v>18</v>
      </c>
      <c r="T5" s="46" t="s">
        <v>73</v>
      </c>
    </row>
    <row r="6" spans="2:20" ht="15.75" thickTop="1" x14ac:dyDescent="0.25">
      <c r="B6" s="2" t="s">
        <v>19</v>
      </c>
      <c r="C6" s="2" t="s">
        <v>20</v>
      </c>
      <c r="D6" s="2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2:20" x14ac:dyDescent="0.25">
      <c r="B7" t="s">
        <v>21</v>
      </c>
      <c r="C7" s="11" t="s">
        <v>22</v>
      </c>
      <c r="D7" t="s">
        <v>25</v>
      </c>
      <c r="E7" s="15">
        <v>16954.95</v>
      </c>
      <c r="F7" s="29">
        <v>15</v>
      </c>
      <c r="G7" s="15">
        <v>2700</v>
      </c>
      <c r="H7" s="15">
        <v>0</v>
      </c>
      <c r="I7" s="15"/>
      <c r="J7" s="15">
        <f>E7-H7</f>
        <v>16954.95</v>
      </c>
      <c r="K7" s="15">
        <v>0</v>
      </c>
      <c r="L7" s="15">
        <v>3246.93</v>
      </c>
      <c r="M7" s="15">
        <f>L7-K7</f>
        <v>3246.93</v>
      </c>
      <c r="N7" s="15">
        <v>0</v>
      </c>
      <c r="O7" s="15">
        <f>E7*0.115</f>
        <v>1949.8192500000002</v>
      </c>
      <c r="P7" s="15">
        <f>SUM(M7:O7)+G7</f>
        <v>7896.7492499999998</v>
      </c>
      <c r="Q7" s="18">
        <f>J7-P7</f>
        <v>9058.20075</v>
      </c>
      <c r="R7" s="11">
        <v>328.67</v>
      </c>
      <c r="S7" s="11">
        <v>3390.99</v>
      </c>
      <c r="T7" s="35">
        <f>SUM(R7:S7)</f>
        <v>3719.66</v>
      </c>
    </row>
    <row r="8" spans="2:20" x14ac:dyDescent="0.25">
      <c r="B8" t="s">
        <v>23</v>
      </c>
      <c r="C8" s="11" t="s">
        <v>24</v>
      </c>
      <c r="D8" t="s">
        <v>3</v>
      </c>
      <c r="E8" s="15">
        <v>4850</v>
      </c>
      <c r="F8" s="29">
        <v>15</v>
      </c>
      <c r="G8" s="15">
        <v>809</v>
      </c>
      <c r="H8" s="15"/>
      <c r="I8" s="15"/>
      <c r="J8" s="15">
        <f>E8-H8</f>
        <v>4850</v>
      </c>
      <c r="K8" s="15">
        <v>0</v>
      </c>
      <c r="L8" s="15">
        <v>491.69</v>
      </c>
      <c r="M8" s="15">
        <f t="shared" ref="M8" si="0">L8-K8</f>
        <v>491.69</v>
      </c>
      <c r="N8" s="15">
        <v>0</v>
      </c>
      <c r="O8" s="15">
        <f>E8*0.115</f>
        <v>557.75</v>
      </c>
      <c r="P8" s="15">
        <f>SUM(M8:O8)+G8</f>
        <v>1858.44</v>
      </c>
      <c r="Q8" s="18">
        <f>J8-P8</f>
        <v>2991.56</v>
      </c>
      <c r="R8" s="11">
        <v>253.58</v>
      </c>
      <c r="S8" s="11">
        <v>970</v>
      </c>
      <c r="T8" s="35">
        <f t="shared" ref="T8" si="1">SUM(R8:S8)</f>
        <v>1223.58</v>
      </c>
    </row>
    <row r="9" spans="2:20" x14ac:dyDescent="0.25">
      <c r="B9" s="7" t="s">
        <v>26</v>
      </c>
      <c r="C9" s="30"/>
      <c r="D9" s="30"/>
      <c r="E9" s="34">
        <f>SUM(E7:E8)</f>
        <v>21804.95</v>
      </c>
      <c r="F9" s="34"/>
      <c r="G9" s="34"/>
      <c r="H9" s="34">
        <f t="shared" ref="H9:T9" si="2">SUM(H7:H8)</f>
        <v>0</v>
      </c>
      <c r="I9" s="34">
        <f t="shared" si="2"/>
        <v>0</v>
      </c>
      <c r="J9" s="34">
        <f t="shared" si="2"/>
        <v>21804.95</v>
      </c>
      <c r="K9" s="34">
        <f t="shared" si="2"/>
        <v>0</v>
      </c>
      <c r="L9" s="34">
        <f t="shared" si="2"/>
        <v>3738.62</v>
      </c>
      <c r="M9" s="34">
        <f t="shared" si="2"/>
        <v>3738.62</v>
      </c>
      <c r="N9" s="34">
        <f t="shared" si="2"/>
        <v>0</v>
      </c>
      <c r="O9" s="34">
        <f t="shared" si="2"/>
        <v>2507.5692500000005</v>
      </c>
      <c r="P9" s="34">
        <f t="shared" si="2"/>
        <v>9755.1892499999994</v>
      </c>
      <c r="Q9" s="34">
        <f t="shared" si="2"/>
        <v>12049.760749999999</v>
      </c>
      <c r="R9" s="34">
        <f t="shared" si="2"/>
        <v>582.25</v>
      </c>
      <c r="S9" s="34">
        <f t="shared" si="2"/>
        <v>4360.99</v>
      </c>
      <c r="T9" s="34">
        <f t="shared" si="2"/>
        <v>4943.24</v>
      </c>
    </row>
    <row r="10" spans="2:20" ht="10.5" hidden="1" customHeight="1" x14ac:dyDescent="0.25"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2:20" x14ac:dyDescent="0.25">
      <c r="B11" s="2" t="s">
        <v>27</v>
      </c>
      <c r="C11" s="2" t="s">
        <v>28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2:20" x14ac:dyDescent="0.25">
      <c r="B12" t="s">
        <v>32</v>
      </c>
      <c r="C12" s="11" t="s">
        <v>37</v>
      </c>
      <c r="D12" t="s">
        <v>1</v>
      </c>
      <c r="E12" s="15">
        <v>10000</v>
      </c>
      <c r="F12" s="29">
        <v>15</v>
      </c>
      <c r="G12" s="15"/>
      <c r="H12" s="15"/>
      <c r="I12" s="15"/>
      <c r="J12" s="15">
        <f t="shared" ref="J12:J19" si="3">E12-H12</f>
        <v>10000</v>
      </c>
      <c r="K12" s="15">
        <v>0</v>
      </c>
      <c r="L12" s="15">
        <v>1581.44</v>
      </c>
      <c r="M12" s="15">
        <f>L12-K12</f>
        <v>1581.44</v>
      </c>
      <c r="N12" s="15">
        <v>0</v>
      </c>
      <c r="O12" s="15">
        <f t="shared" ref="O12:O19" si="4">E12*0.115</f>
        <v>1150</v>
      </c>
      <c r="P12" s="15">
        <f t="shared" ref="P12:P19" si="5">SUM(M12:O12)+G12</f>
        <v>2731.44</v>
      </c>
      <c r="Q12" s="18">
        <f t="shared" ref="Q12:Q19" si="6">J12-P12</f>
        <v>7268.5599999999995</v>
      </c>
      <c r="R12" s="11">
        <v>285.52999999999997</v>
      </c>
      <c r="S12" s="11">
        <v>2000</v>
      </c>
      <c r="T12" s="35">
        <f>R12+S12</f>
        <v>2285.5299999999997</v>
      </c>
    </row>
    <row r="13" spans="2:20" x14ac:dyDescent="0.25">
      <c r="B13" t="s">
        <v>33</v>
      </c>
      <c r="C13" s="11" t="s">
        <v>38</v>
      </c>
      <c r="D13" t="s">
        <v>74</v>
      </c>
      <c r="E13" s="15">
        <v>5350</v>
      </c>
      <c r="F13" s="29">
        <v>15</v>
      </c>
      <c r="G13" s="15"/>
      <c r="H13" s="19"/>
      <c r="I13" s="19"/>
      <c r="J13" s="15">
        <f t="shared" si="3"/>
        <v>5350</v>
      </c>
      <c r="K13" s="15">
        <v>0</v>
      </c>
      <c r="L13" s="15">
        <v>586.75</v>
      </c>
      <c r="M13" s="15">
        <v>588.20000000000005</v>
      </c>
      <c r="N13" s="15">
        <v>0</v>
      </c>
      <c r="O13" s="15">
        <f t="shared" si="4"/>
        <v>615.25</v>
      </c>
      <c r="P13" s="15">
        <f t="shared" si="5"/>
        <v>1203.45</v>
      </c>
      <c r="Q13" s="18">
        <f t="shared" si="6"/>
        <v>4146.55</v>
      </c>
      <c r="R13" s="11">
        <v>256.68</v>
      </c>
      <c r="S13" s="11">
        <v>1070</v>
      </c>
      <c r="T13" s="35">
        <f>R13+S13</f>
        <v>1326.68</v>
      </c>
    </row>
    <row r="14" spans="2:20" x14ac:dyDescent="0.25">
      <c r="B14" t="s">
        <v>34</v>
      </c>
      <c r="C14" s="11" t="s">
        <v>178</v>
      </c>
      <c r="D14" t="s">
        <v>179</v>
      </c>
      <c r="E14" s="15">
        <v>5350</v>
      </c>
      <c r="F14" s="29">
        <v>15</v>
      </c>
      <c r="G14" s="15"/>
      <c r="H14" s="19"/>
      <c r="I14" s="19"/>
      <c r="J14" s="15">
        <f t="shared" ref="J14" si="7">E14-H14</f>
        <v>5350</v>
      </c>
      <c r="K14" s="15">
        <v>0</v>
      </c>
      <c r="L14" s="15">
        <v>586.75</v>
      </c>
      <c r="M14" s="15">
        <v>588.20000000000005</v>
      </c>
      <c r="N14" s="15">
        <v>0</v>
      </c>
      <c r="O14" s="15">
        <f t="shared" si="4"/>
        <v>615.25</v>
      </c>
      <c r="P14" s="15">
        <f t="shared" si="5"/>
        <v>1203.45</v>
      </c>
      <c r="Q14" s="18">
        <f t="shared" ref="Q14" si="8">J14-P14</f>
        <v>4146.55</v>
      </c>
      <c r="R14" s="11">
        <v>256.68</v>
      </c>
      <c r="S14" s="11">
        <v>1070</v>
      </c>
      <c r="T14" s="35">
        <f>R14+S14</f>
        <v>1326.68</v>
      </c>
    </row>
    <row r="15" spans="2:20" x14ac:dyDescent="0.25">
      <c r="B15" t="s">
        <v>35</v>
      </c>
      <c r="C15" t="s">
        <v>111</v>
      </c>
      <c r="D15" t="s">
        <v>77</v>
      </c>
      <c r="E15" s="15">
        <v>6000</v>
      </c>
      <c r="F15" s="29">
        <v>15</v>
      </c>
      <c r="G15" s="15"/>
      <c r="H15" s="15"/>
      <c r="I15" s="15"/>
      <c r="J15" s="15">
        <f t="shared" si="3"/>
        <v>6000</v>
      </c>
      <c r="K15" s="15">
        <v>0</v>
      </c>
      <c r="L15" s="15">
        <v>727.04</v>
      </c>
      <c r="M15" s="15">
        <f t="shared" ref="M15:M19" si="9">L15-K15</f>
        <v>727.04</v>
      </c>
      <c r="N15" s="15">
        <v>0</v>
      </c>
      <c r="O15" s="15">
        <f t="shared" si="4"/>
        <v>690</v>
      </c>
      <c r="P15" s="15">
        <f t="shared" si="5"/>
        <v>1417.04</v>
      </c>
      <c r="Q15" s="18">
        <f t="shared" si="6"/>
        <v>4582.96</v>
      </c>
      <c r="R15" s="11">
        <v>260.72000000000003</v>
      </c>
      <c r="S15" s="11">
        <v>1200</v>
      </c>
      <c r="T15" s="35">
        <f>R15+S15</f>
        <v>1460.72</v>
      </c>
    </row>
    <row r="16" spans="2:20" x14ac:dyDescent="0.25">
      <c r="B16" t="s">
        <v>36</v>
      </c>
      <c r="C16" t="s">
        <v>86</v>
      </c>
      <c r="D16" t="s">
        <v>39</v>
      </c>
      <c r="E16" s="15">
        <v>4500</v>
      </c>
      <c r="F16" s="29">
        <v>15</v>
      </c>
      <c r="G16" s="15">
        <v>750</v>
      </c>
      <c r="H16" s="15"/>
      <c r="I16" s="15"/>
      <c r="J16" s="15">
        <f t="shared" si="3"/>
        <v>4500</v>
      </c>
      <c r="K16" s="15">
        <v>0</v>
      </c>
      <c r="L16" s="15">
        <v>428.97</v>
      </c>
      <c r="M16" s="15">
        <f t="shared" si="9"/>
        <v>428.97</v>
      </c>
      <c r="N16" s="15">
        <v>0</v>
      </c>
      <c r="O16" s="15">
        <f t="shared" si="4"/>
        <v>517.5</v>
      </c>
      <c r="P16" s="15">
        <f t="shared" si="5"/>
        <v>1696.47</v>
      </c>
      <c r="Q16" s="18">
        <f t="shared" si="6"/>
        <v>2803.5299999999997</v>
      </c>
      <c r="R16" s="11">
        <v>251.41</v>
      </c>
      <c r="S16" s="11">
        <v>900</v>
      </c>
      <c r="T16" s="35">
        <f>R16+S16</f>
        <v>1151.4100000000001</v>
      </c>
    </row>
    <row r="17" spans="2:20" x14ac:dyDescent="0.25">
      <c r="B17" t="s">
        <v>115</v>
      </c>
      <c r="C17" t="s">
        <v>87</v>
      </c>
      <c r="D17" t="s">
        <v>39</v>
      </c>
      <c r="E17" s="15">
        <v>4500</v>
      </c>
      <c r="F17" s="29">
        <v>15</v>
      </c>
      <c r="G17" s="15">
        <v>610</v>
      </c>
      <c r="H17" s="15"/>
      <c r="I17" s="15"/>
      <c r="J17" s="15">
        <f t="shared" si="3"/>
        <v>4500</v>
      </c>
      <c r="K17" s="15">
        <v>0</v>
      </c>
      <c r="L17" s="15">
        <v>428.97</v>
      </c>
      <c r="M17" s="15">
        <v>428.97</v>
      </c>
      <c r="N17" s="15">
        <v>0</v>
      </c>
      <c r="O17" s="15">
        <f t="shared" si="4"/>
        <v>517.5</v>
      </c>
      <c r="P17" s="15">
        <f t="shared" si="5"/>
        <v>1556.47</v>
      </c>
      <c r="Q17" s="18">
        <f t="shared" si="6"/>
        <v>2943.5299999999997</v>
      </c>
      <c r="R17" s="11">
        <v>251.41</v>
      </c>
      <c r="S17" s="11">
        <v>900</v>
      </c>
      <c r="T17" s="35">
        <f t="shared" ref="T17:T19" si="10">R17+S17</f>
        <v>1151.4100000000001</v>
      </c>
    </row>
    <row r="18" spans="2:20" x14ac:dyDescent="0.25">
      <c r="B18" t="s">
        <v>116</v>
      </c>
      <c r="C18" t="s">
        <v>89</v>
      </c>
      <c r="D18" t="s">
        <v>4</v>
      </c>
      <c r="E18" s="15">
        <v>2700</v>
      </c>
      <c r="F18" s="29">
        <v>15</v>
      </c>
      <c r="G18" s="15">
        <v>450</v>
      </c>
      <c r="H18" s="15"/>
      <c r="I18" s="15"/>
      <c r="J18" s="15">
        <f t="shared" si="3"/>
        <v>2700</v>
      </c>
      <c r="K18" s="15">
        <v>147.32</v>
      </c>
      <c r="L18" s="15">
        <v>188.33</v>
      </c>
      <c r="M18" s="15">
        <f t="shared" si="9"/>
        <v>41.010000000000019</v>
      </c>
      <c r="N18" s="15">
        <v>0</v>
      </c>
      <c r="O18" s="15">
        <f t="shared" si="4"/>
        <v>310.5</v>
      </c>
      <c r="P18" s="15">
        <f t="shared" si="5"/>
        <v>801.51</v>
      </c>
      <c r="Q18" s="18">
        <f t="shared" si="6"/>
        <v>1898.49</v>
      </c>
      <c r="R18" s="11">
        <v>240.25</v>
      </c>
      <c r="S18" s="11">
        <v>540</v>
      </c>
      <c r="T18" s="35">
        <f t="shared" si="10"/>
        <v>780.25</v>
      </c>
    </row>
    <row r="19" spans="2:20" x14ac:dyDescent="0.25">
      <c r="B19" t="s">
        <v>117</v>
      </c>
      <c r="C19" t="s">
        <v>88</v>
      </c>
      <c r="D19" t="s">
        <v>40</v>
      </c>
      <c r="E19" s="15">
        <v>3150</v>
      </c>
      <c r="F19" s="29">
        <v>15</v>
      </c>
      <c r="G19" s="15"/>
      <c r="H19" s="15"/>
      <c r="I19" s="15"/>
      <c r="J19" s="15">
        <f t="shared" si="3"/>
        <v>3150</v>
      </c>
      <c r="K19" s="15">
        <v>126.77</v>
      </c>
      <c r="L19" s="15">
        <v>237.29</v>
      </c>
      <c r="M19" s="15">
        <f t="shared" si="9"/>
        <v>110.52</v>
      </c>
      <c r="N19" s="15">
        <v>0</v>
      </c>
      <c r="O19" s="15">
        <f t="shared" si="4"/>
        <v>362.25</v>
      </c>
      <c r="P19" s="15">
        <f t="shared" si="5"/>
        <v>472.77</v>
      </c>
      <c r="Q19" s="18">
        <f t="shared" si="6"/>
        <v>2677.23</v>
      </c>
      <c r="R19" s="11">
        <v>243.04</v>
      </c>
      <c r="S19" s="11">
        <v>630</v>
      </c>
      <c r="T19" s="35">
        <f t="shared" si="10"/>
        <v>873.04</v>
      </c>
    </row>
    <row r="20" spans="2:20" x14ac:dyDescent="0.25">
      <c r="B20" s="2" t="s">
        <v>26</v>
      </c>
      <c r="C20" s="30"/>
      <c r="D20" s="30"/>
      <c r="E20" s="34">
        <f>SUM(E12:E19)</f>
        <v>41550</v>
      </c>
      <c r="F20" s="34"/>
      <c r="G20" s="34"/>
      <c r="H20" s="34">
        <f t="shared" ref="H20:T20" si="11">SUM(H12:H19)</f>
        <v>0</v>
      </c>
      <c r="I20" s="34">
        <f t="shared" si="11"/>
        <v>0</v>
      </c>
      <c r="J20" s="34">
        <f t="shared" si="11"/>
        <v>41550</v>
      </c>
      <c r="K20" s="34">
        <f t="shared" si="11"/>
        <v>274.08999999999997</v>
      </c>
      <c r="L20" s="34">
        <f t="shared" si="11"/>
        <v>4765.54</v>
      </c>
      <c r="M20" s="34">
        <f t="shared" si="11"/>
        <v>4494.3500000000013</v>
      </c>
      <c r="N20" s="34">
        <f t="shared" si="11"/>
        <v>0</v>
      </c>
      <c r="O20" s="34">
        <f t="shared" si="11"/>
        <v>4778.25</v>
      </c>
      <c r="P20" s="34">
        <f t="shared" si="11"/>
        <v>11082.6</v>
      </c>
      <c r="Q20" s="34">
        <f t="shared" si="11"/>
        <v>30467.399999999998</v>
      </c>
      <c r="R20" s="34">
        <f t="shared" si="11"/>
        <v>2045.7200000000003</v>
      </c>
      <c r="S20" s="34">
        <f t="shared" si="11"/>
        <v>8310</v>
      </c>
      <c r="T20" s="34">
        <f t="shared" si="11"/>
        <v>10355.720000000001</v>
      </c>
    </row>
    <row r="21" spans="2:20" hidden="1" x14ac:dyDescent="0.25">
      <c r="B21" s="2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2:20" x14ac:dyDescent="0.25">
      <c r="B22" s="2" t="s">
        <v>50</v>
      </c>
      <c r="C22" s="2" t="s">
        <v>160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2:20" x14ac:dyDescent="0.25">
      <c r="B23" t="s">
        <v>119</v>
      </c>
      <c r="C23" t="s">
        <v>91</v>
      </c>
      <c r="D23" t="s">
        <v>76</v>
      </c>
      <c r="E23" s="15">
        <v>5350</v>
      </c>
      <c r="F23" s="29">
        <v>15</v>
      </c>
      <c r="G23" s="15"/>
      <c r="H23" s="15"/>
      <c r="I23" s="15"/>
      <c r="J23" s="15">
        <f>E23-H23</f>
        <v>5350</v>
      </c>
      <c r="K23" s="15">
        <v>0</v>
      </c>
      <c r="L23" s="15">
        <v>453.47</v>
      </c>
      <c r="M23" s="15">
        <v>588.20000000000005</v>
      </c>
      <c r="N23" s="15">
        <v>0</v>
      </c>
      <c r="O23" s="15">
        <f>E23*0.115</f>
        <v>615.25</v>
      </c>
      <c r="P23" s="15">
        <f>SUM(M23:O23)+G23</f>
        <v>1203.45</v>
      </c>
      <c r="Q23" s="18">
        <f>J23-P23</f>
        <v>4146.55</v>
      </c>
      <c r="R23" s="11">
        <v>256.68</v>
      </c>
      <c r="S23" s="11">
        <v>1070</v>
      </c>
      <c r="T23" s="35">
        <f>R23+S23</f>
        <v>1326.68</v>
      </c>
    </row>
    <row r="24" spans="2:20" x14ac:dyDescent="0.25">
      <c r="B24" t="s">
        <v>120</v>
      </c>
      <c r="C24" t="s">
        <v>93</v>
      </c>
      <c r="D24" t="s">
        <v>78</v>
      </c>
      <c r="E24" s="15">
        <v>5350</v>
      </c>
      <c r="F24" s="29">
        <v>15</v>
      </c>
      <c r="G24" s="15"/>
      <c r="H24" s="15"/>
      <c r="I24" s="15"/>
      <c r="J24" s="15">
        <f>E24-H24</f>
        <v>5350</v>
      </c>
      <c r="K24" s="15">
        <v>0</v>
      </c>
      <c r="L24" s="15">
        <v>588.20000000000005</v>
      </c>
      <c r="M24" s="15">
        <f>L24-K24</f>
        <v>588.20000000000005</v>
      </c>
      <c r="N24" s="15">
        <v>0</v>
      </c>
      <c r="O24" s="15">
        <f>E24*0.115</f>
        <v>615.25</v>
      </c>
      <c r="P24" s="15">
        <f>SUM(M24:O24)+G24</f>
        <v>1203.45</v>
      </c>
      <c r="Q24" s="18">
        <f>J24-P24</f>
        <v>4146.55</v>
      </c>
      <c r="R24" s="11">
        <v>256.68</v>
      </c>
      <c r="S24" s="11">
        <v>1070</v>
      </c>
      <c r="T24" s="35">
        <f>R24+S24</f>
        <v>1326.68</v>
      </c>
    </row>
    <row r="25" spans="2:20" x14ac:dyDescent="0.25">
      <c r="B25" t="s">
        <v>121</v>
      </c>
      <c r="C25" t="s">
        <v>114</v>
      </c>
      <c r="D25" t="s">
        <v>79</v>
      </c>
      <c r="E25" s="15">
        <v>5350</v>
      </c>
      <c r="F25" s="29">
        <v>15</v>
      </c>
      <c r="G25" s="15"/>
      <c r="H25" s="15"/>
      <c r="I25" s="15"/>
      <c r="J25" s="15">
        <f>E25-H25</f>
        <v>5350</v>
      </c>
      <c r="K25" s="15">
        <v>0</v>
      </c>
      <c r="L25" s="15">
        <v>588.20000000000005</v>
      </c>
      <c r="M25" s="15">
        <f>L25-K25</f>
        <v>588.20000000000005</v>
      </c>
      <c r="N25" s="15">
        <v>0</v>
      </c>
      <c r="O25" s="15">
        <f>E25*0.115</f>
        <v>615.25</v>
      </c>
      <c r="P25" s="15">
        <f>SUM(M25:O25)+G25</f>
        <v>1203.45</v>
      </c>
      <c r="Q25" s="18">
        <f>J25-P25</f>
        <v>4146.55</v>
      </c>
      <c r="R25" s="11">
        <v>256.68</v>
      </c>
      <c r="S25" s="11">
        <v>1070</v>
      </c>
      <c r="T25" s="35">
        <f>R25+S25</f>
        <v>1326.68</v>
      </c>
    </row>
    <row r="26" spans="2:20" x14ac:dyDescent="0.25">
      <c r="B26" s="2" t="s">
        <v>26</v>
      </c>
      <c r="C26" s="30"/>
      <c r="D26" s="30"/>
      <c r="E26" s="34">
        <f>SUM(E23:E25)</f>
        <v>16050</v>
      </c>
      <c r="F26" s="34"/>
      <c r="G26" s="34"/>
      <c r="H26" s="34">
        <f>SUM(H23:H25)</f>
        <v>0</v>
      </c>
      <c r="I26" s="34">
        <f>SUM(I23:I25)</f>
        <v>0</v>
      </c>
      <c r="J26" s="34">
        <f t="shared" ref="J26:T26" si="12">SUM(J23:J25)</f>
        <v>16050</v>
      </c>
      <c r="K26" s="34">
        <f t="shared" si="12"/>
        <v>0</v>
      </c>
      <c r="L26" s="34">
        <f t="shared" si="12"/>
        <v>1629.8700000000001</v>
      </c>
      <c r="M26" s="34">
        <f t="shared" si="12"/>
        <v>1764.6000000000001</v>
      </c>
      <c r="N26" s="34">
        <f t="shared" si="12"/>
        <v>0</v>
      </c>
      <c r="O26" s="34">
        <f t="shared" si="12"/>
        <v>1845.75</v>
      </c>
      <c r="P26" s="34">
        <f t="shared" si="12"/>
        <v>3610.3500000000004</v>
      </c>
      <c r="Q26" s="34">
        <f t="shared" si="12"/>
        <v>12439.650000000001</v>
      </c>
      <c r="R26" s="34">
        <f t="shared" si="12"/>
        <v>770.04</v>
      </c>
      <c r="S26" s="34">
        <f t="shared" si="12"/>
        <v>3210</v>
      </c>
      <c r="T26" s="34">
        <f t="shared" si="12"/>
        <v>3980.04</v>
      </c>
    </row>
    <row r="27" spans="2:20" hidden="1" x14ac:dyDescent="0.25"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2:20" x14ac:dyDescent="0.25">
      <c r="B28" s="2" t="s">
        <v>63</v>
      </c>
      <c r="C28" s="2" t="s">
        <v>51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2:20" x14ac:dyDescent="0.25">
      <c r="B29" t="s">
        <v>122</v>
      </c>
      <c r="C29" t="s">
        <v>97</v>
      </c>
      <c r="D29" t="s">
        <v>80</v>
      </c>
      <c r="E29" s="15">
        <v>5350</v>
      </c>
      <c r="F29" s="29">
        <v>15</v>
      </c>
      <c r="G29" s="15"/>
      <c r="H29" s="15">
        <v>29.72</v>
      </c>
      <c r="I29" s="15"/>
      <c r="J29" s="15">
        <f t="shared" ref="J29:J39" si="13">E29-H29</f>
        <v>5320.28</v>
      </c>
      <c r="K29" s="15">
        <v>0</v>
      </c>
      <c r="L29" s="15">
        <v>588.20000000000005</v>
      </c>
      <c r="M29" s="15">
        <f>L29-K29</f>
        <v>588.20000000000005</v>
      </c>
      <c r="N29" s="15">
        <v>0</v>
      </c>
      <c r="O29" s="15">
        <f>E29*0.115</f>
        <v>615.25</v>
      </c>
      <c r="P29" s="15">
        <f t="shared" ref="P29:P39" si="14">SUM(M29:O29)+G29</f>
        <v>1203.45</v>
      </c>
      <c r="Q29" s="18">
        <f t="shared" ref="Q29:Q39" si="15">J29-P29</f>
        <v>4116.83</v>
      </c>
      <c r="R29" s="11">
        <v>256.68</v>
      </c>
      <c r="S29" s="11">
        <v>1070</v>
      </c>
      <c r="T29" s="35">
        <f t="shared" ref="T29:T39" si="16">R29+S29</f>
        <v>1326.68</v>
      </c>
    </row>
    <row r="30" spans="2:20" x14ac:dyDescent="0.25">
      <c r="B30" t="s">
        <v>123</v>
      </c>
      <c r="C30" t="s">
        <v>100</v>
      </c>
      <c r="D30" t="s">
        <v>80</v>
      </c>
      <c r="E30" s="15">
        <v>5350</v>
      </c>
      <c r="F30" s="29">
        <v>15</v>
      </c>
      <c r="G30" s="15"/>
      <c r="H30" s="11"/>
      <c r="I30" s="20"/>
      <c r="J30" s="20">
        <f t="shared" si="13"/>
        <v>5350</v>
      </c>
      <c r="K30" s="20">
        <v>0</v>
      </c>
      <c r="L30" s="20">
        <v>587.48</v>
      </c>
      <c r="M30" s="20">
        <v>588.20000000000005</v>
      </c>
      <c r="N30" s="15">
        <v>0</v>
      </c>
      <c r="O30" s="15">
        <f t="shared" ref="O30:O39" si="17">E30*0.115</f>
        <v>615.25</v>
      </c>
      <c r="P30" s="15">
        <f t="shared" si="14"/>
        <v>1203.45</v>
      </c>
      <c r="Q30" s="18">
        <f t="shared" si="15"/>
        <v>4146.55</v>
      </c>
      <c r="R30" s="11">
        <v>256.68</v>
      </c>
      <c r="S30" s="11">
        <v>1070</v>
      </c>
      <c r="T30" s="35">
        <f t="shared" si="16"/>
        <v>1326.68</v>
      </c>
    </row>
    <row r="31" spans="2:20" x14ac:dyDescent="0.25">
      <c r="B31" t="s">
        <v>124</v>
      </c>
      <c r="C31" t="s">
        <v>96</v>
      </c>
      <c r="D31" t="s">
        <v>78</v>
      </c>
      <c r="E31" s="15">
        <v>5350</v>
      </c>
      <c r="F31" s="29">
        <v>15</v>
      </c>
      <c r="G31" s="15"/>
      <c r="H31" s="20">
        <v>29.72</v>
      </c>
      <c r="I31" s="20"/>
      <c r="J31" s="20">
        <f t="shared" si="13"/>
        <v>5320.28</v>
      </c>
      <c r="K31" s="20">
        <v>0</v>
      </c>
      <c r="L31" s="20">
        <v>588.20000000000005</v>
      </c>
      <c r="M31" s="20">
        <f t="shared" ref="M31:M39" si="18">L31-K31</f>
        <v>588.20000000000005</v>
      </c>
      <c r="N31" s="15">
        <v>0</v>
      </c>
      <c r="O31" s="15">
        <f t="shared" si="17"/>
        <v>615.25</v>
      </c>
      <c r="P31" s="15">
        <f t="shared" si="14"/>
        <v>1203.45</v>
      </c>
      <c r="Q31" s="18">
        <f t="shared" si="15"/>
        <v>4116.83</v>
      </c>
      <c r="R31" s="11">
        <v>256.68</v>
      </c>
      <c r="S31" s="11">
        <v>1070</v>
      </c>
      <c r="T31" s="35">
        <f t="shared" si="16"/>
        <v>1326.68</v>
      </c>
    </row>
    <row r="32" spans="2:20" x14ac:dyDescent="0.25">
      <c r="B32" t="s">
        <v>125</v>
      </c>
      <c r="C32" t="s">
        <v>104</v>
      </c>
      <c r="D32" t="s">
        <v>78</v>
      </c>
      <c r="E32" s="15">
        <v>5350</v>
      </c>
      <c r="F32" s="29">
        <v>15</v>
      </c>
      <c r="G32" s="15"/>
      <c r="H32" s="20"/>
      <c r="I32" s="20"/>
      <c r="J32" s="20">
        <f t="shared" si="13"/>
        <v>5350</v>
      </c>
      <c r="K32" s="20">
        <v>0</v>
      </c>
      <c r="L32" s="20">
        <v>588.20000000000005</v>
      </c>
      <c r="M32" s="20">
        <f t="shared" si="18"/>
        <v>588.20000000000005</v>
      </c>
      <c r="N32" s="15">
        <v>0</v>
      </c>
      <c r="O32" s="15">
        <f t="shared" si="17"/>
        <v>615.25</v>
      </c>
      <c r="P32" s="15">
        <f t="shared" si="14"/>
        <v>1203.45</v>
      </c>
      <c r="Q32" s="18">
        <f t="shared" si="15"/>
        <v>4146.55</v>
      </c>
      <c r="R32" s="11">
        <v>256.68</v>
      </c>
      <c r="S32" s="11">
        <v>1070</v>
      </c>
      <c r="T32" s="35">
        <f t="shared" si="16"/>
        <v>1326.68</v>
      </c>
    </row>
    <row r="33" spans="2:20" x14ac:dyDescent="0.25">
      <c r="B33" t="s">
        <v>126</v>
      </c>
      <c r="C33" t="s">
        <v>94</v>
      </c>
      <c r="D33" t="s">
        <v>81</v>
      </c>
      <c r="E33" s="15">
        <v>5350</v>
      </c>
      <c r="F33" s="29">
        <v>15</v>
      </c>
      <c r="G33" s="15">
        <v>595</v>
      </c>
      <c r="H33" s="20"/>
      <c r="I33" s="20"/>
      <c r="J33" s="20">
        <f t="shared" si="13"/>
        <v>5350</v>
      </c>
      <c r="K33" s="20">
        <v>0</v>
      </c>
      <c r="L33" s="20">
        <v>517.23</v>
      </c>
      <c r="M33" s="20">
        <v>588.02</v>
      </c>
      <c r="N33" s="15">
        <v>0</v>
      </c>
      <c r="O33" s="15">
        <f t="shared" si="17"/>
        <v>615.25</v>
      </c>
      <c r="P33" s="15">
        <f t="shared" si="14"/>
        <v>1798.27</v>
      </c>
      <c r="Q33" s="18">
        <f t="shared" si="15"/>
        <v>3551.73</v>
      </c>
      <c r="R33" s="11">
        <v>256.68</v>
      </c>
      <c r="S33" s="11">
        <v>1070</v>
      </c>
      <c r="T33" s="35">
        <f t="shared" si="16"/>
        <v>1326.68</v>
      </c>
    </row>
    <row r="34" spans="2:20" x14ac:dyDescent="0.25">
      <c r="B34" t="s">
        <v>127</v>
      </c>
      <c r="C34" t="s">
        <v>98</v>
      </c>
      <c r="D34" t="s">
        <v>81</v>
      </c>
      <c r="E34" s="15">
        <v>5350</v>
      </c>
      <c r="F34" s="29">
        <v>15</v>
      </c>
      <c r="G34" s="15"/>
      <c r="H34" s="20">
        <v>25.47</v>
      </c>
      <c r="I34" s="20"/>
      <c r="J34" s="20">
        <f>E34-H34</f>
        <v>5324.53</v>
      </c>
      <c r="K34" s="20">
        <v>0</v>
      </c>
      <c r="L34" s="20">
        <v>588.20000000000005</v>
      </c>
      <c r="M34" s="20">
        <f t="shared" si="18"/>
        <v>588.20000000000005</v>
      </c>
      <c r="N34" s="15">
        <v>0</v>
      </c>
      <c r="O34" s="15">
        <f>E34*0.115</f>
        <v>615.25</v>
      </c>
      <c r="P34" s="15">
        <f t="shared" si="14"/>
        <v>1203.45</v>
      </c>
      <c r="Q34" s="18">
        <f t="shared" si="15"/>
        <v>4121.08</v>
      </c>
      <c r="R34" s="11">
        <v>256.68</v>
      </c>
      <c r="S34" s="11">
        <v>1070</v>
      </c>
      <c r="T34" s="35">
        <f t="shared" si="16"/>
        <v>1326.68</v>
      </c>
    </row>
    <row r="35" spans="2:20" x14ac:dyDescent="0.25">
      <c r="B35" t="s">
        <v>128</v>
      </c>
      <c r="C35" t="s">
        <v>101</v>
      </c>
      <c r="D35" t="s">
        <v>81</v>
      </c>
      <c r="E35" s="15">
        <v>5350</v>
      </c>
      <c r="F35" s="29">
        <v>15</v>
      </c>
      <c r="G35" s="15"/>
      <c r="H35" s="20"/>
      <c r="I35" s="20"/>
      <c r="J35" s="20">
        <f t="shared" si="13"/>
        <v>5350</v>
      </c>
      <c r="K35" s="20">
        <v>0</v>
      </c>
      <c r="L35" s="20">
        <v>586.03</v>
      </c>
      <c r="M35" s="20">
        <v>588.02</v>
      </c>
      <c r="N35" s="15">
        <v>0</v>
      </c>
      <c r="O35" s="15">
        <f t="shared" si="17"/>
        <v>615.25</v>
      </c>
      <c r="P35" s="15">
        <f t="shared" si="14"/>
        <v>1203.27</v>
      </c>
      <c r="Q35" s="18">
        <f t="shared" si="15"/>
        <v>4146.7299999999996</v>
      </c>
      <c r="R35" s="11">
        <v>256.68</v>
      </c>
      <c r="S35" s="11">
        <v>1070</v>
      </c>
      <c r="T35" s="35">
        <f t="shared" si="16"/>
        <v>1326.68</v>
      </c>
    </row>
    <row r="36" spans="2:20" x14ac:dyDescent="0.25">
      <c r="B36" t="s">
        <v>129</v>
      </c>
      <c r="C36" t="s">
        <v>95</v>
      </c>
      <c r="D36" t="s">
        <v>82</v>
      </c>
      <c r="E36" s="15">
        <v>5350</v>
      </c>
      <c r="F36" s="29">
        <v>15</v>
      </c>
      <c r="G36" s="15"/>
      <c r="H36" s="15"/>
      <c r="I36" s="15"/>
      <c r="J36" s="15">
        <f t="shared" si="13"/>
        <v>5350</v>
      </c>
      <c r="K36" s="15">
        <v>0</v>
      </c>
      <c r="L36" s="15">
        <v>588.20000000000005</v>
      </c>
      <c r="M36" s="15">
        <f t="shared" si="18"/>
        <v>588.20000000000005</v>
      </c>
      <c r="N36" s="15">
        <v>0</v>
      </c>
      <c r="O36" s="15">
        <f t="shared" si="17"/>
        <v>615.25</v>
      </c>
      <c r="P36" s="15">
        <f t="shared" si="14"/>
        <v>1203.45</v>
      </c>
      <c r="Q36" s="18">
        <f t="shared" si="15"/>
        <v>4146.55</v>
      </c>
      <c r="R36" s="11">
        <v>256.68</v>
      </c>
      <c r="S36" s="11">
        <v>1070</v>
      </c>
      <c r="T36" s="35">
        <f t="shared" si="16"/>
        <v>1326.68</v>
      </c>
    </row>
    <row r="37" spans="2:20" x14ac:dyDescent="0.25">
      <c r="B37" t="s">
        <v>130</v>
      </c>
      <c r="C37" t="s">
        <v>102</v>
      </c>
      <c r="D37" t="s">
        <v>82</v>
      </c>
      <c r="E37" s="15">
        <v>5350</v>
      </c>
      <c r="F37" s="29">
        <v>15</v>
      </c>
      <c r="G37" s="15"/>
      <c r="H37" s="15"/>
      <c r="I37" s="15"/>
      <c r="J37" s="15">
        <f t="shared" si="13"/>
        <v>5350</v>
      </c>
      <c r="K37" s="15">
        <v>0</v>
      </c>
      <c r="L37" s="15">
        <v>586.03</v>
      </c>
      <c r="M37" s="15">
        <v>588.20000000000005</v>
      </c>
      <c r="N37" s="15">
        <v>0</v>
      </c>
      <c r="O37" s="15">
        <f t="shared" si="17"/>
        <v>615.25</v>
      </c>
      <c r="P37" s="15">
        <f t="shared" si="14"/>
        <v>1203.45</v>
      </c>
      <c r="Q37" s="18">
        <f t="shared" si="15"/>
        <v>4146.55</v>
      </c>
      <c r="R37" s="11">
        <v>256.68</v>
      </c>
      <c r="S37" s="11">
        <v>1070</v>
      </c>
      <c r="T37" s="35">
        <f t="shared" si="16"/>
        <v>1326.68</v>
      </c>
    </row>
    <row r="38" spans="2:20" x14ac:dyDescent="0.25">
      <c r="B38" t="s">
        <v>131</v>
      </c>
      <c r="C38" t="s">
        <v>85</v>
      </c>
      <c r="D38" t="s">
        <v>83</v>
      </c>
      <c r="E38" s="15">
        <v>5350</v>
      </c>
      <c r="F38" s="29">
        <v>15</v>
      </c>
      <c r="G38" s="15">
        <v>1784</v>
      </c>
      <c r="H38" s="15"/>
      <c r="I38" s="15"/>
      <c r="J38" s="15">
        <f t="shared" si="13"/>
        <v>5350</v>
      </c>
      <c r="K38" s="15">
        <v>0</v>
      </c>
      <c r="L38" s="15">
        <v>588.20000000000005</v>
      </c>
      <c r="M38" s="15">
        <f t="shared" si="18"/>
        <v>588.20000000000005</v>
      </c>
      <c r="N38" s="15">
        <v>0</v>
      </c>
      <c r="O38" s="15">
        <f t="shared" si="17"/>
        <v>615.25</v>
      </c>
      <c r="P38" s="15">
        <f t="shared" si="14"/>
        <v>2987.45</v>
      </c>
      <c r="Q38" s="18">
        <f t="shared" si="15"/>
        <v>2362.5500000000002</v>
      </c>
      <c r="R38" s="11">
        <v>256.68</v>
      </c>
      <c r="S38" s="11">
        <v>1070</v>
      </c>
      <c r="T38" s="35">
        <f t="shared" si="16"/>
        <v>1326.68</v>
      </c>
    </row>
    <row r="39" spans="2:20" x14ac:dyDescent="0.25">
      <c r="B39" t="s">
        <v>132</v>
      </c>
      <c r="C39" t="s">
        <v>103</v>
      </c>
      <c r="D39" t="s">
        <v>83</v>
      </c>
      <c r="E39" s="15">
        <v>5350</v>
      </c>
      <c r="F39" s="29">
        <v>15</v>
      </c>
      <c r="G39" s="15"/>
      <c r="H39" s="15"/>
      <c r="I39" s="15"/>
      <c r="J39" s="15">
        <f t="shared" si="13"/>
        <v>5350</v>
      </c>
      <c r="K39" s="15">
        <v>0</v>
      </c>
      <c r="L39" s="15">
        <v>588.20000000000005</v>
      </c>
      <c r="M39" s="15">
        <f t="shared" si="18"/>
        <v>588.20000000000005</v>
      </c>
      <c r="N39" s="15">
        <v>0</v>
      </c>
      <c r="O39" s="15">
        <f t="shared" si="17"/>
        <v>615.25</v>
      </c>
      <c r="P39" s="15">
        <f t="shared" si="14"/>
        <v>1203.45</v>
      </c>
      <c r="Q39" s="18">
        <f t="shared" si="15"/>
        <v>4146.55</v>
      </c>
      <c r="R39" s="11">
        <v>256.68</v>
      </c>
      <c r="S39" s="11">
        <v>1070</v>
      </c>
      <c r="T39" s="35">
        <f t="shared" si="16"/>
        <v>1326.68</v>
      </c>
    </row>
    <row r="40" spans="2:20" x14ac:dyDescent="0.25">
      <c r="B40" s="2" t="s">
        <v>26</v>
      </c>
      <c r="C40" s="30"/>
      <c r="D40" s="30"/>
      <c r="E40" s="34">
        <f>SUM(E29:E39)</f>
        <v>58850</v>
      </c>
      <c r="F40" s="34"/>
      <c r="G40" s="34"/>
      <c r="H40" s="34">
        <f>SUM(H29:H39)</f>
        <v>84.91</v>
      </c>
      <c r="I40" s="34">
        <f>SUM(I29:I39)</f>
        <v>0</v>
      </c>
      <c r="J40" s="34">
        <f>SUM(J29:J39)</f>
        <v>58765.09</v>
      </c>
      <c r="K40" s="34">
        <f t="shared" ref="K40:T40" si="19">SUM(K29:K39)</f>
        <v>0</v>
      </c>
      <c r="L40" s="34">
        <f t="shared" si="19"/>
        <v>6394.1699999999992</v>
      </c>
      <c r="M40" s="34">
        <f t="shared" si="19"/>
        <v>6469.84</v>
      </c>
      <c r="N40" s="34">
        <f t="shared" si="19"/>
        <v>0</v>
      </c>
      <c r="O40" s="34">
        <f t="shared" si="19"/>
        <v>6767.75</v>
      </c>
      <c r="P40" s="34">
        <f t="shared" si="19"/>
        <v>15616.59</v>
      </c>
      <c r="Q40" s="34">
        <f t="shared" si="19"/>
        <v>43148.500000000007</v>
      </c>
      <c r="R40" s="34">
        <f t="shared" si="19"/>
        <v>2823.4799999999996</v>
      </c>
      <c r="S40" s="34">
        <f t="shared" si="19"/>
        <v>11770</v>
      </c>
      <c r="T40" s="34">
        <f t="shared" si="19"/>
        <v>14593.480000000001</v>
      </c>
    </row>
    <row r="41" spans="2:20" hidden="1" x14ac:dyDescent="0.25"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20" x14ac:dyDescent="0.25">
      <c r="B42" s="2" t="s">
        <v>140</v>
      </c>
      <c r="C42" s="2" t="s">
        <v>64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20" x14ac:dyDescent="0.25">
      <c r="B43" t="s">
        <v>133</v>
      </c>
      <c r="C43" t="s">
        <v>99</v>
      </c>
      <c r="D43" t="s">
        <v>80</v>
      </c>
      <c r="E43" s="15">
        <v>5350</v>
      </c>
      <c r="F43" s="29">
        <v>15</v>
      </c>
      <c r="G43" s="15"/>
      <c r="H43" s="20">
        <v>11.04</v>
      </c>
      <c r="I43" s="20"/>
      <c r="J43" s="20">
        <f>E43-H43</f>
        <v>5338.96</v>
      </c>
      <c r="K43" s="20">
        <v>0</v>
      </c>
      <c r="L43" s="20">
        <v>586.21</v>
      </c>
      <c r="M43" s="20">
        <v>588.20000000000005</v>
      </c>
      <c r="N43" s="15">
        <v>0</v>
      </c>
      <c r="O43" s="15">
        <f t="shared" ref="O43" si="20">E43*0.115</f>
        <v>615.25</v>
      </c>
      <c r="P43" s="15">
        <f>SUM(M43:O43)+G43</f>
        <v>1203.45</v>
      </c>
      <c r="Q43" s="18">
        <f>J43-P43</f>
        <v>4135.51</v>
      </c>
      <c r="R43" s="11">
        <v>256.68</v>
      </c>
      <c r="S43" s="11">
        <v>1070</v>
      </c>
      <c r="T43" s="35">
        <f t="shared" ref="T43:T44" si="21">R43+S43</f>
        <v>1326.68</v>
      </c>
    </row>
    <row r="44" spans="2:20" x14ac:dyDescent="0.25">
      <c r="B44" t="s">
        <v>152</v>
      </c>
      <c r="C44" t="s">
        <v>92</v>
      </c>
      <c r="D44" t="s">
        <v>80</v>
      </c>
      <c r="E44" s="15">
        <v>5350</v>
      </c>
      <c r="F44" s="29">
        <v>15</v>
      </c>
      <c r="G44" s="15"/>
      <c r="H44" s="15"/>
      <c r="I44" s="15"/>
      <c r="J44" s="15">
        <f>E44-H44</f>
        <v>5350</v>
      </c>
      <c r="K44" s="15">
        <v>0</v>
      </c>
      <c r="L44" s="15">
        <v>588.20000000000005</v>
      </c>
      <c r="M44" s="15">
        <v>588.20000000000005</v>
      </c>
      <c r="N44" s="15">
        <v>0</v>
      </c>
      <c r="O44" s="15">
        <f>J44*0.115</f>
        <v>615.25</v>
      </c>
      <c r="P44" s="15">
        <f>SUM(M44:O44)+G44</f>
        <v>1203.45</v>
      </c>
      <c r="Q44" s="18">
        <f>J44-P44</f>
        <v>4146.55</v>
      </c>
      <c r="R44" s="11">
        <v>256.68</v>
      </c>
      <c r="S44" s="11">
        <v>1070</v>
      </c>
      <c r="T44" s="35">
        <f t="shared" si="21"/>
        <v>1326.68</v>
      </c>
    </row>
    <row r="45" spans="2:20" x14ac:dyDescent="0.25">
      <c r="B45" s="2" t="s">
        <v>26</v>
      </c>
      <c r="C45" s="30"/>
      <c r="D45" s="30"/>
      <c r="E45" s="34">
        <f>E43+E44</f>
        <v>10700</v>
      </c>
      <c r="F45" s="34"/>
      <c r="G45" s="34"/>
      <c r="H45" s="34">
        <f>H43+H44</f>
        <v>11.04</v>
      </c>
      <c r="I45" s="34">
        <f>I43+I44</f>
        <v>0</v>
      </c>
      <c r="J45" s="34">
        <f t="shared" ref="J45:T45" si="22">J43+J44</f>
        <v>10688.96</v>
      </c>
      <c r="K45" s="34">
        <f t="shared" si="22"/>
        <v>0</v>
      </c>
      <c r="L45" s="34">
        <f t="shared" si="22"/>
        <v>1174.4100000000001</v>
      </c>
      <c r="M45" s="34">
        <f t="shared" si="22"/>
        <v>1176.4000000000001</v>
      </c>
      <c r="N45" s="34">
        <f t="shared" si="22"/>
        <v>0</v>
      </c>
      <c r="O45" s="34">
        <f t="shared" si="22"/>
        <v>1230.5</v>
      </c>
      <c r="P45" s="34">
        <f t="shared" si="22"/>
        <v>2406.9</v>
      </c>
      <c r="Q45" s="34">
        <f t="shared" si="22"/>
        <v>8282.0600000000013</v>
      </c>
      <c r="R45" s="34">
        <f t="shared" si="22"/>
        <v>513.36</v>
      </c>
      <c r="S45" s="34">
        <f t="shared" si="22"/>
        <v>2140</v>
      </c>
      <c r="T45" s="34">
        <f t="shared" si="22"/>
        <v>2653.36</v>
      </c>
    </row>
    <row r="46" spans="2:20" hidden="1" x14ac:dyDescent="0.25">
      <c r="B46" s="2"/>
      <c r="E46" s="15"/>
      <c r="F46" s="15"/>
      <c r="G46" s="15"/>
      <c r="H46" s="15"/>
      <c r="I46" s="15"/>
      <c r="J46" s="16"/>
      <c r="K46" s="16"/>
      <c r="L46" s="16"/>
      <c r="M46" s="16"/>
      <c r="N46" s="16"/>
      <c r="O46" s="16"/>
      <c r="P46" s="16"/>
      <c r="Q46" s="16"/>
      <c r="R46" s="8"/>
      <c r="S46" s="8"/>
      <c r="T46" s="8"/>
    </row>
    <row r="47" spans="2:20" x14ac:dyDescent="0.25">
      <c r="B47" s="2" t="s">
        <v>161</v>
      </c>
      <c r="C47" s="2" t="s">
        <v>162</v>
      </c>
      <c r="E47" s="15"/>
      <c r="F47" s="15"/>
      <c r="G47" s="15"/>
      <c r="H47" s="15"/>
      <c r="I47" s="15"/>
      <c r="J47" s="16"/>
      <c r="K47" s="16"/>
      <c r="L47" s="16"/>
      <c r="M47" s="16"/>
      <c r="N47" s="16"/>
      <c r="O47" s="16"/>
      <c r="P47" s="16"/>
      <c r="Q47" s="16"/>
      <c r="R47" s="8"/>
      <c r="S47" s="8"/>
      <c r="T47" s="8"/>
    </row>
    <row r="48" spans="2:20" x14ac:dyDescent="0.25">
      <c r="B48" t="s">
        <v>163</v>
      </c>
      <c r="C48" s="11" t="s">
        <v>42</v>
      </c>
      <c r="D48" t="s">
        <v>2</v>
      </c>
      <c r="E48" s="15">
        <v>10000</v>
      </c>
      <c r="F48" s="29">
        <v>15</v>
      </c>
      <c r="G48" s="15"/>
      <c r="H48" s="15"/>
      <c r="I48" s="15"/>
      <c r="J48" s="15">
        <f>E48-H48</f>
        <v>10000</v>
      </c>
      <c r="K48" s="15">
        <v>0</v>
      </c>
      <c r="L48" s="15">
        <v>1581.44</v>
      </c>
      <c r="M48" s="15">
        <f>L48-K48</f>
        <v>1581.44</v>
      </c>
      <c r="N48" s="15">
        <v>0</v>
      </c>
      <c r="O48" s="15">
        <f>E48*0.115</f>
        <v>1150</v>
      </c>
      <c r="P48" s="15">
        <f>SUM(M48:O48)+G48</f>
        <v>2731.44</v>
      </c>
      <c r="Q48" s="18">
        <f>J48-P48</f>
        <v>7268.5599999999995</v>
      </c>
      <c r="R48" s="11">
        <v>285.52999999999997</v>
      </c>
      <c r="S48" s="11">
        <v>2000</v>
      </c>
      <c r="T48" s="35">
        <f>R48+S48</f>
        <v>2285.5299999999997</v>
      </c>
    </row>
    <row r="49" spans="2:20" x14ac:dyDescent="0.25">
      <c r="B49" s="2" t="s">
        <v>26</v>
      </c>
      <c r="E49" s="34">
        <f>E48</f>
        <v>10000</v>
      </c>
      <c r="F49" s="34"/>
      <c r="G49" s="34"/>
      <c r="H49" s="34">
        <f>H48</f>
        <v>0</v>
      </c>
      <c r="I49" s="34">
        <f>I48</f>
        <v>0</v>
      </c>
      <c r="J49" s="34">
        <f t="shared" ref="J49:T49" si="23">J48</f>
        <v>10000</v>
      </c>
      <c r="K49" s="34">
        <f t="shared" si="23"/>
        <v>0</v>
      </c>
      <c r="L49" s="34">
        <f t="shared" si="23"/>
        <v>1581.44</v>
      </c>
      <c r="M49" s="34">
        <f t="shared" si="23"/>
        <v>1581.44</v>
      </c>
      <c r="N49" s="34">
        <f t="shared" si="23"/>
        <v>0</v>
      </c>
      <c r="O49" s="34">
        <f t="shared" si="23"/>
        <v>1150</v>
      </c>
      <c r="P49" s="34">
        <f t="shared" si="23"/>
        <v>2731.44</v>
      </c>
      <c r="Q49" s="34">
        <f t="shared" si="23"/>
        <v>7268.5599999999995</v>
      </c>
      <c r="R49" s="34">
        <f t="shared" si="23"/>
        <v>285.52999999999997</v>
      </c>
      <c r="S49" s="34">
        <f t="shared" si="23"/>
        <v>2000</v>
      </c>
      <c r="T49" s="34">
        <f t="shared" si="23"/>
        <v>2285.5299999999997</v>
      </c>
    </row>
    <row r="50" spans="2:20" ht="12" customHeight="1" x14ac:dyDescent="0.25">
      <c r="B50" s="2"/>
      <c r="E50" s="15"/>
      <c r="F50" s="15"/>
      <c r="G50" s="15"/>
      <c r="H50" s="15"/>
      <c r="I50" s="15"/>
      <c r="J50" s="16"/>
      <c r="K50" s="16"/>
      <c r="L50" s="16"/>
      <c r="M50" s="16"/>
      <c r="N50" s="16"/>
      <c r="O50" s="16"/>
      <c r="P50" s="16"/>
      <c r="Q50" s="16"/>
      <c r="R50" s="8"/>
      <c r="S50" s="8"/>
      <c r="T50" s="8"/>
    </row>
    <row r="51" spans="2:20" hidden="1" x14ac:dyDescent="0.25"/>
    <row r="52" spans="2:20" ht="18.75" x14ac:dyDescent="0.3">
      <c r="C52" s="53" t="s">
        <v>105</v>
      </c>
      <c r="E52" s="17">
        <f>E9+E20+E26+E40+E45+E49</f>
        <v>158954.95000000001</v>
      </c>
      <c r="F52" s="17"/>
      <c r="G52" s="17"/>
      <c r="H52" s="17">
        <f t="shared" ref="H52:T52" si="24">H9+H20+H26+H40+H45+H49</f>
        <v>95.949999999999989</v>
      </c>
      <c r="I52" s="17">
        <f t="shared" si="24"/>
        <v>0</v>
      </c>
      <c r="J52" s="17">
        <f t="shared" si="24"/>
        <v>158858.99999999997</v>
      </c>
      <c r="K52" s="17">
        <f t="shared" si="24"/>
        <v>274.08999999999997</v>
      </c>
      <c r="L52" s="17">
        <f t="shared" si="24"/>
        <v>19284.05</v>
      </c>
      <c r="M52" s="17">
        <f t="shared" si="24"/>
        <v>19225.250000000004</v>
      </c>
      <c r="N52" s="17">
        <f t="shared" si="24"/>
        <v>0</v>
      </c>
      <c r="O52" s="17">
        <f t="shared" si="24"/>
        <v>18279.81925</v>
      </c>
      <c r="P52" s="17">
        <f t="shared" si="24"/>
        <v>45203.069250000008</v>
      </c>
      <c r="Q52" s="54">
        <f t="shared" si="24"/>
        <v>113655.93075</v>
      </c>
      <c r="R52" s="17">
        <f t="shared" si="24"/>
        <v>7020.3799999999992</v>
      </c>
      <c r="S52" s="17">
        <f t="shared" si="24"/>
        <v>31790.989999999998</v>
      </c>
      <c r="T52" s="55">
        <f t="shared" si="24"/>
        <v>38811.370000000003</v>
      </c>
    </row>
    <row r="55" spans="2:20" ht="15.75" thickBot="1" x14ac:dyDescent="0.3">
      <c r="E55" s="375"/>
      <c r="F55" s="375"/>
      <c r="G55" s="57"/>
      <c r="O55" s="376"/>
      <c r="P55" s="376"/>
    </row>
    <row r="56" spans="2:20" x14ac:dyDescent="0.25">
      <c r="E56" s="377" t="s">
        <v>177</v>
      </c>
      <c r="F56" s="377"/>
      <c r="G56" s="58"/>
      <c r="O56" s="26"/>
      <c r="P56" s="26"/>
      <c r="Q56" s="378" t="s">
        <v>157</v>
      </c>
      <c r="R56" s="378"/>
    </row>
    <row r="60" spans="2:20" x14ac:dyDescent="0.25">
      <c r="C60" t="s">
        <v>174</v>
      </c>
    </row>
  </sheetData>
  <mergeCells count="5">
    <mergeCell ref="B4:T4"/>
    <mergeCell ref="E55:F55"/>
    <mergeCell ref="O55:P55"/>
    <mergeCell ref="E56:F56"/>
    <mergeCell ref="Q56:R56"/>
  </mergeCells>
  <pageMargins left="0.51181102362204722" right="0.51181102362204722" top="0.15748031496062992" bottom="0.35433070866141736" header="0.31496062992125984" footer="0.31496062992125984"/>
  <pageSetup paperSize="300" scale="4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P61"/>
  <sheetViews>
    <sheetView zoomScaleNormal="100" workbookViewId="0">
      <pane xSplit="3" ySplit="3" topLeftCell="E4" activePane="bottomRight" state="frozen"/>
      <selection pane="topRight" activeCell="D1" sqref="D1"/>
      <selection pane="bottomLeft" activeCell="A4" sqref="A4"/>
      <selection pane="bottomRight" activeCell="M15" sqref="M15"/>
    </sheetView>
  </sheetViews>
  <sheetFormatPr baseColWidth="10" defaultRowHeight="15" x14ac:dyDescent="0.25"/>
  <cols>
    <col min="2" max="2" width="33.42578125" customWidth="1"/>
    <col min="3" max="3" width="27" customWidth="1"/>
    <col min="4" max="4" width="18.42578125" customWidth="1"/>
    <col min="5" max="5" width="18.7109375" customWidth="1"/>
    <col min="7" max="7" width="17.7109375" customWidth="1"/>
    <col min="8" max="8" width="16" customWidth="1"/>
    <col min="12" max="12" width="17.42578125" customWidth="1"/>
    <col min="13" max="13" width="16.140625" customWidth="1"/>
    <col min="14" max="14" width="16.42578125" customWidth="1"/>
    <col min="15" max="15" width="17.28515625" customWidth="1"/>
    <col min="16" max="16" width="19.28515625" customWidth="1"/>
  </cols>
  <sheetData>
    <row r="1" spans="1:16" ht="18.75" x14ac:dyDescent="0.25">
      <c r="B1" s="6" t="s">
        <v>108</v>
      </c>
    </row>
    <row r="2" spans="1:16" ht="15.75" thickBot="1" x14ac:dyDescent="0.3">
      <c r="D2" s="367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9"/>
    </row>
    <row r="3" spans="1:16" ht="35.25" thickTop="1" thickBot="1" x14ac:dyDescent="0.3">
      <c r="A3" s="42" t="s">
        <v>9</v>
      </c>
      <c r="B3" s="43" t="s">
        <v>10</v>
      </c>
      <c r="C3" s="43" t="s">
        <v>0</v>
      </c>
      <c r="D3" s="43" t="s">
        <v>11</v>
      </c>
      <c r="E3" s="43" t="s">
        <v>12</v>
      </c>
      <c r="F3" s="43" t="s">
        <v>107</v>
      </c>
      <c r="G3" s="43" t="s">
        <v>13</v>
      </c>
      <c r="H3" s="43" t="s">
        <v>14</v>
      </c>
      <c r="I3" s="43" t="s">
        <v>15</v>
      </c>
      <c r="J3" s="43" t="s">
        <v>106</v>
      </c>
      <c r="K3" s="43" t="s">
        <v>16</v>
      </c>
      <c r="L3" s="43" t="s">
        <v>17</v>
      </c>
      <c r="M3" s="43" t="s">
        <v>72</v>
      </c>
      <c r="N3" s="43" t="s">
        <v>8</v>
      </c>
      <c r="O3" s="43" t="s">
        <v>18</v>
      </c>
      <c r="P3" s="43" t="s">
        <v>73</v>
      </c>
    </row>
    <row r="4" spans="1:16" ht="15.75" thickTop="1" x14ac:dyDescent="0.25">
      <c r="A4" s="2" t="s">
        <v>19</v>
      </c>
      <c r="B4" s="2" t="s">
        <v>20</v>
      </c>
      <c r="C4" s="2"/>
    </row>
    <row r="5" spans="1:16" x14ac:dyDescent="0.25">
      <c r="A5" t="s">
        <v>21</v>
      </c>
      <c r="B5" t="s">
        <v>22</v>
      </c>
      <c r="C5" t="s">
        <v>25</v>
      </c>
      <c r="D5">
        <v>16954.95</v>
      </c>
      <c r="E5">
        <f>D5</f>
        <v>16954.95</v>
      </c>
      <c r="F5" s="15">
        <v>0</v>
      </c>
      <c r="G5">
        <v>3246.93</v>
      </c>
      <c r="H5">
        <v>188.65</v>
      </c>
      <c r="I5" s="15">
        <v>0</v>
      </c>
      <c r="J5" s="15">
        <v>0</v>
      </c>
      <c r="K5" s="15">
        <v>0</v>
      </c>
      <c r="L5">
        <f>SUM(F5:K5)</f>
        <v>3435.58</v>
      </c>
      <c r="M5" s="5">
        <f>E5-L5</f>
        <v>13519.37</v>
      </c>
      <c r="N5" s="10">
        <v>1223.77</v>
      </c>
      <c r="O5" s="10">
        <v>2797.56</v>
      </c>
      <c r="P5" s="35">
        <f>SUM(N5:O5)</f>
        <v>4021.33</v>
      </c>
    </row>
    <row r="6" spans="1:16" x14ac:dyDescent="0.25">
      <c r="A6" t="s">
        <v>23</v>
      </c>
      <c r="B6" t="s">
        <v>24</v>
      </c>
      <c r="C6" t="s">
        <v>3</v>
      </c>
      <c r="D6">
        <v>4850</v>
      </c>
      <c r="E6">
        <f t="shared" ref="E6:E7" si="0">D6</f>
        <v>4850</v>
      </c>
      <c r="F6" s="15">
        <v>0</v>
      </c>
      <c r="G6">
        <v>491.69</v>
      </c>
      <c r="H6">
        <v>44.835000000000001</v>
      </c>
      <c r="I6" s="15">
        <v>0</v>
      </c>
      <c r="J6" s="15">
        <v>0</v>
      </c>
      <c r="K6" s="15">
        <v>0</v>
      </c>
      <c r="L6">
        <f t="shared" ref="L6:L7" si="1">SUM(F6:K6)</f>
        <v>536.52499999999998</v>
      </c>
      <c r="M6" s="5">
        <f t="shared" ref="M6:M18" si="2">E6-L6</f>
        <v>4313.4750000000004</v>
      </c>
      <c r="N6" s="10">
        <v>480.14</v>
      </c>
      <c r="O6" s="10">
        <v>800.25</v>
      </c>
      <c r="P6" s="35">
        <f t="shared" ref="P6:P7" si="3">SUM(N6:O6)</f>
        <v>1280.3899999999999</v>
      </c>
    </row>
    <row r="7" spans="1:16" x14ac:dyDescent="0.25">
      <c r="A7" t="s">
        <v>41</v>
      </c>
      <c r="B7" t="s">
        <v>42</v>
      </c>
      <c r="C7" t="s">
        <v>2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f t="shared" si="1"/>
        <v>0</v>
      </c>
      <c r="M7" s="12">
        <f t="shared" si="2"/>
        <v>0</v>
      </c>
      <c r="N7" s="27">
        <v>0</v>
      </c>
      <c r="O7" s="27">
        <v>0</v>
      </c>
      <c r="P7" s="35">
        <f t="shared" si="3"/>
        <v>0</v>
      </c>
    </row>
    <row r="8" spans="1:16" x14ac:dyDescent="0.25">
      <c r="A8" s="7" t="s">
        <v>26</v>
      </c>
      <c r="D8" s="34">
        <f>SUM(D5:D7)</f>
        <v>21804.95</v>
      </c>
      <c r="E8" s="34">
        <f t="shared" ref="E8:P8" si="4">SUM(E5:E7)</f>
        <v>21804.95</v>
      </c>
      <c r="F8" s="34">
        <f t="shared" si="4"/>
        <v>0</v>
      </c>
      <c r="G8" s="34">
        <f t="shared" si="4"/>
        <v>3738.62</v>
      </c>
      <c r="H8" s="34">
        <f t="shared" si="4"/>
        <v>233.48500000000001</v>
      </c>
      <c r="I8" s="34">
        <f t="shared" si="4"/>
        <v>0</v>
      </c>
      <c r="J8" s="34">
        <f t="shared" si="4"/>
        <v>0</v>
      </c>
      <c r="K8" s="34">
        <f t="shared" si="4"/>
        <v>0</v>
      </c>
      <c r="L8" s="34">
        <f t="shared" si="4"/>
        <v>3972.105</v>
      </c>
      <c r="M8" s="34">
        <f t="shared" si="4"/>
        <v>17832.845000000001</v>
      </c>
      <c r="N8" s="34">
        <f t="shared" si="4"/>
        <v>1703.9099999999999</v>
      </c>
      <c r="O8" s="34">
        <f t="shared" si="4"/>
        <v>3597.81</v>
      </c>
      <c r="P8" s="34">
        <f t="shared" si="4"/>
        <v>5301.7199999999993</v>
      </c>
    </row>
    <row r="10" spans="1:16" x14ac:dyDescent="0.25">
      <c r="A10" s="2" t="s">
        <v>27</v>
      </c>
      <c r="B10" s="2" t="s">
        <v>28</v>
      </c>
    </row>
    <row r="11" spans="1:16" x14ac:dyDescent="0.25">
      <c r="A11" t="s">
        <v>29</v>
      </c>
      <c r="B11" t="s">
        <v>37</v>
      </c>
      <c r="C11" t="s">
        <v>1</v>
      </c>
      <c r="D11" s="15">
        <v>0</v>
      </c>
      <c r="E11" s="15">
        <f t="shared" ref="E11:E14" si="5">D11</f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f>SUM(F11:K11)</f>
        <v>0</v>
      </c>
      <c r="M11" s="12">
        <f t="shared" si="2"/>
        <v>0</v>
      </c>
      <c r="N11" s="27">
        <v>0</v>
      </c>
      <c r="O11" s="27">
        <v>0</v>
      </c>
      <c r="P11" s="35">
        <v>0</v>
      </c>
    </row>
    <row r="12" spans="1:16" x14ac:dyDescent="0.25">
      <c r="A12" t="s">
        <v>30</v>
      </c>
      <c r="B12" t="s">
        <v>38</v>
      </c>
      <c r="C12" t="s">
        <v>74</v>
      </c>
      <c r="D12" s="15">
        <v>0</v>
      </c>
      <c r="E12" s="15">
        <f t="shared" si="5"/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f t="shared" ref="L12:L16" si="6">SUM(F12:K12)</f>
        <v>0</v>
      </c>
      <c r="M12" s="12">
        <f t="shared" si="2"/>
        <v>0</v>
      </c>
      <c r="N12" s="27">
        <v>0</v>
      </c>
      <c r="O12" s="27">
        <v>0</v>
      </c>
      <c r="P12" s="35">
        <v>0</v>
      </c>
    </row>
    <row r="13" spans="1:16" x14ac:dyDescent="0.25">
      <c r="A13" t="s">
        <v>31</v>
      </c>
      <c r="B13" t="s">
        <v>90</v>
      </c>
      <c r="C13" t="s">
        <v>75</v>
      </c>
      <c r="D13" s="15">
        <v>0</v>
      </c>
      <c r="E13" s="15">
        <f t="shared" si="5"/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f t="shared" si="6"/>
        <v>0</v>
      </c>
      <c r="M13" s="12">
        <f t="shared" si="2"/>
        <v>0</v>
      </c>
      <c r="N13" s="27">
        <v>0</v>
      </c>
      <c r="O13" s="27">
        <v>0</v>
      </c>
      <c r="P13" s="35">
        <v>0</v>
      </c>
    </row>
    <row r="14" spans="1:16" x14ac:dyDescent="0.25">
      <c r="A14" t="s">
        <v>32</v>
      </c>
      <c r="B14" t="s">
        <v>90</v>
      </c>
      <c r="C14" t="s">
        <v>77</v>
      </c>
      <c r="D14" s="15">
        <v>0</v>
      </c>
      <c r="E14" s="15">
        <f t="shared" si="5"/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f t="shared" si="6"/>
        <v>0</v>
      </c>
      <c r="M14" s="12">
        <f t="shared" si="2"/>
        <v>0</v>
      </c>
      <c r="N14" s="27">
        <v>0</v>
      </c>
      <c r="O14" s="27">
        <v>0</v>
      </c>
      <c r="P14" s="35">
        <v>0</v>
      </c>
    </row>
    <row r="15" spans="1:16" x14ac:dyDescent="0.25">
      <c r="A15" t="s">
        <v>33</v>
      </c>
      <c r="B15" t="s">
        <v>86</v>
      </c>
      <c r="C15" t="s">
        <v>5</v>
      </c>
      <c r="D15">
        <v>5000</v>
      </c>
      <c r="E15">
        <f>D15</f>
        <v>5000</v>
      </c>
      <c r="F15" s="15">
        <v>0</v>
      </c>
      <c r="G15">
        <v>518.57000000000005</v>
      </c>
      <c r="H15">
        <v>46.61</v>
      </c>
      <c r="I15" s="15">
        <v>0</v>
      </c>
      <c r="J15" s="15">
        <v>0</v>
      </c>
      <c r="K15" s="15">
        <v>0</v>
      </c>
      <c r="L15">
        <f t="shared" si="6"/>
        <v>565.18000000000006</v>
      </c>
      <c r="M15" s="5">
        <f t="shared" si="2"/>
        <v>4434.82</v>
      </c>
      <c r="N15" s="10">
        <v>489.36</v>
      </c>
      <c r="O15" s="10">
        <v>825</v>
      </c>
      <c r="P15" s="35">
        <f>N15+O15</f>
        <v>1314.3600000000001</v>
      </c>
    </row>
    <row r="16" spans="1:16" x14ac:dyDescent="0.25">
      <c r="A16" t="s">
        <v>34</v>
      </c>
      <c r="B16" t="s">
        <v>87</v>
      </c>
      <c r="C16" t="s">
        <v>39</v>
      </c>
      <c r="D16">
        <v>4500</v>
      </c>
      <c r="E16">
        <f t="shared" ref="E16:E17" si="7">D16</f>
        <v>4500</v>
      </c>
      <c r="F16" s="15">
        <v>0</v>
      </c>
      <c r="G16">
        <v>428.97</v>
      </c>
      <c r="H16">
        <v>40.67</v>
      </c>
      <c r="I16" s="15">
        <v>0</v>
      </c>
      <c r="J16" s="15">
        <v>0</v>
      </c>
      <c r="K16" s="15">
        <v>0</v>
      </c>
      <c r="L16">
        <f t="shared" si="6"/>
        <v>469.64000000000004</v>
      </c>
      <c r="M16" s="5">
        <f t="shared" si="2"/>
        <v>4030.36</v>
      </c>
      <c r="N16" s="10">
        <v>458.64</v>
      </c>
      <c r="O16" s="10">
        <v>742.5</v>
      </c>
      <c r="P16" s="35">
        <f t="shared" ref="P16:P18" si="8">N16+O16</f>
        <v>1201.1399999999999</v>
      </c>
    </row>
    <row r="17" spans="1:16" x14ac:dyDescent="0.25">
      <c r="A17" t="s">
        <v>35</v>
      </c>
      <c r="B17" t="s">
        <v>89</v>
      </c>
      <c r="C17" t="s">
        <v>4</v>
      </c>
      <c r="D17">
        <v>2700</v>
      </c>
      <c r="E17">
        <f t="shared" si="7"/>
        <v>2700</v>
      </c>
      <c r="F17" s="15">
        <v>0</v>
      </c>
      <c r="G17">
        <v>188.33</v>
      </c>
      <c r="H17">
        <v>19.29</v>
      </c>
      <c r="I17" s="15">
        <v>0</v>
      </c>
      <c r="J17" s="15">
        <v>0</v>
      </c>
      <c r="K17" s="15">
        <v>0</v>
      </c>
      <c r="L17">
        <f>SUM(F17:K17)</f>
        <v>207.62</v>
      </c>
      <c r="M17" s="5">
        <f t="shared" si="2"/>
        <v>2492.38</v>
      </c>
      <c r="N17" s="10">
        <v>348.07</v>
      </c>
      <c r="O17" s="10">
        <v>445.5</v>
      </c>
      <c r="P17" s="35">
        <f t="shared" si="8"/>
        <v>793.56999999999994</v>
      </c>
    </row>
    <row r="18" spans="1:16" x14ac:dyDescent="0.25">
      <c r="A18" t="s">
        <v>36</v>
      </c>
      <c r="B18" t="s">
        <v>88</v>
      </c>
      <c r="C18" t="s">
        <v>40</v>
      </c>
      <c r="D18">
        <v>3150</v>
      </c>
      <c r="E18">
        <f>SUM(D18:D18)</f>
        <v>3150</v>
      </c>
      <c r="F18" s="15">
        <v>0</v>
      </c>
      <c r="G18">
        <v>237.29</v>
      </c>
      <c r="H18">
        <v>24.64</v>
      </c>
      <c r="I18" s="15">
        <v>0</v>
      </c>
      <c r="J18" s="15">
        <v>0</v>
      </c>
      <c r="K18" s="15">
        <v>0</v>
      </c>
      <c r="L18">
        <f>SUM(F18:K18)</f>
        <v>261.93</v>
      </c>
      <c r="M18" s="5">
        <f t="shared" si="2"/>
        <v>2888.07</v>
      </c>
      <c r="N18" s="10">
        <v>375.71</v>
      </c>
      <c r="O18" s="10">
        <v>519.75</v>
      </c>
      <c r="P18" s="35">
        <f t="shared" si="8"/>
        <v>895.46</v>
      </c>
    </row>
    <row r="19" spans="1:16" x14ac:dyDescent="0.25">
      <c r="A19" s="2" t="s">
        <v>26</v>
      </c>
      <c r="D19" s="34">
        <f>SUM(D11:D18)</f>
        <v>15350</v>
      </c>
      <c r="E19" s="34">
        <f>SUM(E11:E18)</f>
        <v>15350</v>
      </c>
      <c r="F19" s="34">
        <f t="shared" ref="F19:P19" si="9">SUM(F11:F18)</f>
        <v>0</v>
      </c>
      <c r="G19" s="34">
        <f t="shared" si="9"/>
        <v>1373.16</v>
      </c>
      <c r="H19" s="34">
        <f t="shared" si="9"/>
        <v>131.20999999999998</v>
      </c>
      <c r="I19" s="34">
        <f t="shared" si="9"/>
        <v>0</v>
      </c>
      <c r="J19" s="34">
        <f t="shared" si="9"/>
        <v>0</v>
      </c>
      <c r="K19" s="34">
        <f t="shared" si="9"/>
        <v>0</v>
      </c>
      <c r="L19" s="34">
        <f t="shared" si="9"/>
        <v>1504.3700000000001</v>
      </c>
      <c r="M19" s="34">
        <f t="shared" si="9"/>
        <v>13845.630000000001</v>
      </c>
      <c r="N19" s="34">
        <f t="shared" si="9"/>
        <v>1671.78</v>
      </c>
      <c r="O19" s="34">
        <f t="shared" si="9"/>
        <v>2532.75</v>
      </c>
      <c r="P19" s="34">
        <f t="shared" si="9"/>
        <v>4204.53</v>
      </c>
    </row>
    <row r="20" spans="1:16" x14ac:dyDescent="0.25">
      <c r="A20" s="2"/>
    </row>
    <row r="21" spans="1:16" x14ac:dyDescent="0.25">
      <c r="A21" s="2" t="s">
        <v>43</v>
      </c>
      <c r="B21" s="2" t="s">
        <v>44</v>
      </c>
    </row>
    <row r="22" spans="1:16" x14ac:dyDescent="0.25">
      <c r="A22" t="s">
        <v>45</v>
      </c>
      <c r="B22" t="s">
        <v>90</v>
      </c>
      <c r="C22" t="s">
        <v>6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f>SUM(D22:K22)</f>
        <v>0</v>
      </c>
      <c r="M22" s="12">
        <v>0</v>
      </c>
      <c r="N22" s="27">
        <v>0</v>
      </c>
      <c r="O22" s="27">
        <v>0</v>
      </c>
      <c r="P22" s="35">
        <v>0</v>
      </c>
    </row>
    <row r="23" spans="1:16" x14ac:dyDescent="0.25">
      <c r="A23" t="s">
        <v>46</v>
      </c>
      <c r="B23" t="s">
        <v>91</v>
      </c>
      <c r="C23" t="s">
        <v>76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f>SUM(D23:K23)</f>
        <v>0</v>
      </c>
      <c r="M23" s="12">
        <v>0</v>
      </c>
      <c r="N23" s="27">
        <v>0</v>
      </c>
      <c r="O23" s="27">
        <v>0</v>
      </c>
      <c r="P23" s="35">
        <v>0</v>
      </c>
    </row>
    <row r="24" spans="1:16" x14ac:dyDescent="0.25">
      <c r="A24" s="2" t="s">
        <v>26</v>
      </c>
      <c r="D24" s="34">
        <f>SUM(D22:D23)</f>
        <v>0</v>
      </c>
      <c r="E24" s="34">
        <f t="shared" ref="E24:P24" si="10">SUM(E22:E23)</f>
        <v>0</v>
      </c>
      <c r="F24" s="34">
        <f t="shared" si="10"/>
        <v>0</v>
      </c>
      <c r="G24" s="34">
        <f t="shared" si="10"/>
        <v>0</v>
      </c>
      <c r="H24" s="34">
        <f t="shared" si="10"/>
        <v>0</v>
      </c>
      <c r="I24" s="34">
        <f t="shared" si="10"/>
        <v>0</v>
      </c>
      <c r="J24" s="34">
        <f t="shared" si="10"/>
        <v>0</v>
      </c>
      <c r="K24" s="34">
        <f t="shared" si="10"/>
        <v>0</v>
      </c>
      <c r="L24" s="34">
        <f t="shared" si="10"/>
        <v>0</v>
      </c>
      <c r="M24" s="34">
        <f t="shared" si="10"/>
        <v>0</v>
      </c>
      <c r="N24" s="34">
        <f t="shared" si="10"/>
        <v>0</v>
      </c>
      <c r="O24" s="34">
        <f t="shared" si="10"/>
        <v>0</v>
      </c>
      <c r="P24" s="34">
        <f t="shared" si="10"/>
        <v>0</v>
      </c>
    </row>
    <row r="26" spans="1:16" x14ac:dyDescent="0.25">
      <c r="A26" s="2" t="s">
        <v>43</v>
      </c>
      <c r="B26" s="2" t="s">
        <v>47</v>
      </c>
    </row>
    <row r="27" spans="1:16" x14ac:dyDescent="0.25">
      <c r="A27" t="s">
        <v>48</v>
      </c>
      <c r="B27" t="s">
        <v>93</v>
      </c>
      <c r="C27" t="s">
        <v>78</v>
      </c>
      <c r="D27">
        <v>5350</v>
      </c>
      <c r="E27">
        <f>D27</f>
        <v>5350</v>
      </c>
      <c r="F27" s="15">
        <v>0</v>
      </c>
      <c r="G27">
        <v>588.20000000000005</v>
      </c>
      <c r="H27">
        <v>50.77</v>
      </c>
      <c r="I27" s="15">
        <v>0</v>
      </c>
      <c r="J27" s="15">
        <v>0</v>
      </c>
      <c r="K27" s="15">
        <v>0</v>
      </c>
      <c r="L27">
        <f>SUM(F27:K27)</f>
        <v>638.97</v>
      </c>
      <c r="M27" s="5">
        <f>E27-L27</f>
        <v>4711.03</v>
      </c>
      <c r="N27" s="10">
        <v>510.86</v>
      </c>
      <c r="O27" s="10">
        <v>882.75</v>
      </c>
      <c r="P27" s="35">
        <f>N27+O27</f>
        <v>1393.6100000000001</v>
      </c>
    </row>
    <row r="28" spans="1:16" x14ac:dyDescent="0.25">
      <c r="A28" t="s">
        <v>49</v>
      </c>
      <c r="B28" t="s">
        <v>90</v>
      </c>
      <c r="C28" t="s">
        <v>79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f>SUM(F28:K28)</f>
        <v>0</v>
      </c>
      <c r="M28" s="12">
        <v>0</v>
      </c>
      <c r="N28" s="27">
        <v>0</v>
      </c>
      <c r="O28" s="27">
        <v>0</v>
      </c>
      <c r="P28" s="35">
        <v>0</v>
      </c>
    </row>
    <row r="29" spans="1:16" x14ac:dyDescent="0.25">
      <c r="A29" s="2" t="s">
        <v>26</v>
      </c>
      <c r="D29" s="34">
        <f>SUM(D27:D28)</f>
        <v>5350</v>
      </c>
      <c r="E29" s="34">
        <f t="shared" ref="E29:P29" si="11">SUM(E27:E28)</f>
        <v>5350</v>
      </c>
      <c r="F29" s="34">
        <f t="shared" si="11"/>
        <v>0</v>
      </c>
      <c r="G29" s="34">
        <f t="shared" si="11"/>
        <v>588.20000000000005</v>
      </c>
      <c r="H29" s="34">
        <f t="shared" si="11"/>
        <v>50.77</v>
      </c>
      <c r="I29" s="34">
        <f t="shared" si="11"/>
        <v>0</v>
      </c>
      <c r="J29" s="34">
        <f t="shared" si="11"/>
        <v>0</v>
      </c>
      <c r="K29" s="34">
        <f t="shared" si="11"/>
        <v>0</v>
      </c>
      <c r="L29" s="34">
        <f t="shared" si="11"/>
        <v>638.97</v>
      </c>
      <c r="M29" s="34">
        <f t="shared" si="11"/>
        <v>4711.03</v>
      </c>
      <c r="N29" s="34">
        <f t="shared" si="11"/>
        <v>510.86</v>
      </c>
      <c r="O29" s="34">
        <f t="shared" si="11"/>
        <v>882.75</v>
      </c>
      <c r="P29" s="34">
        <f t="shared" si="11"/>
        <v>1393.6100000000001</v>
      </c>
    </row>
    <row r="31" spans="1:16" x14ac:dyDescent="0.25">
      <c r="A31" s="2" t="s">
        <v>50</v>
      </c>
      <c r="B31" s="2" t="s">
        <v>51</v>
      </c>
    </row>
    <row r="32" spans="1:16" x14ac:dyDescent="0.25">
      <c r="A32" t="s">
        <v>52</v>
      </c>
      <c r="B32" t="s">
        <v>97</v>
      </c>
      <c r="C32" t="s">
        <v>80</v>
      </c>
      <c r="D32">
        <v>5350</v>
      </c>
      <c r="E32">
        <f t="shared" ref="E32:E42" si="12">D32</f>
        <v>5350</v>
      </c>
      <c r="F32" s="15">
        <v>0</v>
      </c>
      <c r="G32">
        <v>588.20000000000005</v>
      </c>
      <c r="H32">
        <v>50.77</v>
      </c>
      <c r="I32" s="15">
        <v>0</v>
      </c>
      <c r="J32" s="15">
        <v>0</v>
      </c>
      <c r="K32" s="15">
        <v>0</v>
      </c>
      <c r="L32">
        <f>SUM(F32:K32)</f>
        <v>638.97</v>
      </c>
      <c r="M32" s="5">
        <f t="shared" ref="M32:M42" si="13">E32-L32</f>
        <v>4711.03</v>
      </c>
      <c r="N32" s="10">
        <v>510.86</v>
      </c>
      <c r="O32" s="10">
        <v>882.75</v>
      </c>
      <c r="P32" s="35">
        <f t="shared" ref="P32:P42" si="14">N32+O32</f>
        <v>1393.6100000000001</v>
      </c>
    </row>
    <row r="33" spans="1:16" x14ac:dyDescent="0.25">
      <c r="A33" t="s">
        <v>53</v>
      </c>
      <c r="B33" t="s">
        <v>100</v>
      </c>
      <c r="C33" t="s">
        <v>80</v>
      </c>
      <c r="D33">
        <v>5350</v>
      </c>
      <c r="E33">
        <f t="shared" si="12"/>
        <v>5350</v>
      </c>
      <c r="F33" s="15">
        <v>0</v>
      </c>
      <c r="G33">
        <v>588.20000000000005</v>
      </c>
      <c r="H33">
        <v>50.77</v>
      </c>
      <c r="I33" s="15">
        <v>0</v>
      </c>
      <c r="J33" s="15">
        <v>0</v>
      </c>
      <c r="K33" s="15">
        <v>0</v>
      </c>
      <c r="L33">
        <f t="shared" ref="L33:L42" si="15">SUM(F33:K33)</f>
        <v>638.97</v>
      </c>
      <c r="M33" s="5">
        <f t="shared" si="13"/>
        <v>4711.03</v>
      </c>
      <c r="N33" s="10">
        <v>510.86</v>
      </c>
      <c r="O33" s="10">
        <v>882.75</v>
      </c>
      <c r="P33" s="35">
        <f t="shared" si="14"/>
        <v>1393.6100000000001</v>
      </c>
    </row>
    <row r="34" spans="1:16" x14ac:dyDescent="0.25">
      <c r="A34" t="s">
        <v>54</v>
      </c>
      <c r="B34" t="s">
        <v>96</v>
      </c>
      <c r="C34" t="s">
        <v>78</v>
      </c>
      <c r="D34">
        <v>5350</v>
      </c>
      <c r="E34">
        <f t="shared" si="12"/>
        <v>5350</v>
      </c>
      <c r="F34" s="15">
        <v>0</v>
      </c>
      <c r="G34">
        <v>588.20000000000005</v>
      </c>
      <c r="H34">
        <v>50.77</v>
      </c>
      <c r="I34" s="15">
        <v>0</v>
      </c>
      <c r="J34" s="15">
        <v>0</v>
      </c>
      <c r="K34" s="15">
        <v>0</v>
      </c>
      <c r="L34">
        <f t="shared" si="15"/>
        <v>638.97</v>
      </c>
      <c r="M34" s="5">
        <f t="shared" si="13"/>
        <v>4711.03</v>
      </c>
      <c r="N34" s="10">
        <v>510.86</v>
      </c>
      <c r="O34" s="10">
        <v>882.75</v>
      </c>
      <c r="P34" s="35">
        <f t="shared" si="14"/>
        <v>1393.6100000000001</v>
      </c>
    </row>
    <row r="35" spans="1:16" x14ac:dyDescent="0.25">
      <c r="A35" t="s">
        <v>55</v>
      </c>
      <c r="B35" t="s">
        <v>104</v>
      </c>
      <c r="C35" t="s">
        <v>78</v>
      </c>
      <c r="D35">
        <v>5350</v>
      </c>
      <c r="E35">
        <f t="shared" si="12"/>
        <v>5350</v>
      </c>
      <c r="F35" s="15">
        <v>0</v>
      </c>
      <c r="G35">
        <v>588.20000000000005</v>
      </c>
      <c r="H35">
        <v>50.77</v>
      </c>
      <c r="I35" s="15">
        <v>0</v>
      </c>
      <c r="J35" s="15">
        <v>0</v>
      </c>
      <c r="K35" s="15">
        <v>0</v>
      </c>
      <c r="L35">
        <f t="shared" si="15"/>
        <v>638.97</v>
      </c>
      <c r="M35" s="5">
        <f t="shared" si="13"/>
        <v>4711.03</v>
      </c>
      <c r="N35" s="10">
        <v>510.86</v>
      </c>
      <c r="O35" s="10">
        <v>882.75</v>
      </c>
      <c r="P35" s="35">
        <f t="shared" si="14"/>
        <v>1393.6100000000001</v>
      </c>
    </row>
    <row r="36" spans="1:16" x14ac:dyDescent="0.25">
      <c r="A36" t="s">
        <v>56</v>
      </c>
      <c r="B36" t="s">
        <v>94</v>
      </c>
      <c r="C36" t="s">
        <v>81</v>
      </c>
      <c r="D36">
        <v>5350</v>
      </c>
      <c r="E36">
        <f t="shared" si="12"/>
        <v>5350</v>
      </c>
      <c r="F36" s="15">
        <v>0</v>
      </c>
      <c r="G36">
        <v>588.20000000000005</v>
      </c>
      <c r="H36">
        <v>50.77</v>
      </c>
      <c r="I36" s="15">
        <v>0</v>
      </c>
      <c r="J36" s="15">
        <v>0</v>
      </c>
      <c r="K36" s="15">
        <v>0</v>
      </c>
      <c r="L36">
        <f t="shared" si="15"/>
        <v>638.97</v>
      </c>
      <c r="M36" s="5">
        <f t="shared" si="13"/>
        <v>4711.03</v>
      </c>
      <c r="N36" s="10">
        <v>510.86</v>
      </c>
      <c r="O36" s="10">
        <v>882.75</v>
      </c>
      <c r="P36" s="35">
        <f t="shared" si="14"/>
        <v>1393.6100000000001</v>
      </c>
    </row>
    <row r="37" spans="1:16" x14ac:dyDescent="0.25">
      <c r="A37" t="s">
        <v>57</v>
      </c>
      <c r="B37" t="s">
        <v>98</v>
      </c>
      <c r="C37" t="s">
        <v>81</v>
      </c>
      <c r="D37">
        <v>5350</v>
      </c>
      <c r="E37">
        <f t="shared" si="12"/>
        <v>5350</v>
      </c>
      <c r="F37" s="15">
        <v>0</v>
      </c>
      <c r="G37">
        <v>588.20000000000005</v>
      </c>
      <c r="H37">
        <v>50.77</v>
      </c>
      <c r="I37" s="15">
        <v>0</v>
      </c>
      <c r="J37" s="15">
        <v>0</v>
      </c>
      <c r="K37" s="15">
        <v>0</v>
      </c>
      <c r="L37">
        <f t="shared" si="15"/>
        <v>638.97</v>
      </c>
      <c r="M37" s="5">
        <f t="shared" si="13"/>
        <v>4711.03</v>
      </c>
      <c r="N37" s="10">
        <v>510.86</v>
      </c>
      <c r="O37" s="10">
        <v>882.75</v>
      </c>
      <c r="P37" s="35">
        <f t="shared" si="14"/>
        <v>1393.6100000000001</v>
      </c>
    </row>
    <row r="38" spans="1:16" x14ac:dyDescent="0.25">
      <c r="A38" t="s">
        <v>58</v>
      </c>
      <c r="B38" t="s">
        <v>101</v>
      </c>
      <c r="C38" t="s">
        <v>81</v>
      </c>
      <c r="D38">
        <v>5350</v>
      </c>
      <c r="E38">
        <f t="shared" si="12"/>
        <v>5350</v>
      </c>
      <c r="F38" s="15">
        <v>0</v>
      </c>
      <c r="G38">
        <v>588.20000000000005</v>
      </c>
      <c r="H38">
        <v>50.77</v>
      </c>
      <c r="I38" s="15">
        <v>0</v>
      </c>
      <c r="J38" s="15">
        <v>0</v>
      </c>
      <c r="K38" s="15">
        <v>0</v>
      </c>
      <c r="L38">
        <f t="shared" si="15"/>
        <v>638.97</v>
      </c>
      <c r="M38" s="5">
        <f t="shared" si="13"/>
        <v>4711.03</v>
      </c>
      <c r="N38" s="10">
        <v>510.86</v>
      </c>
      <c r="O38" s="10">
        <v>882.75</v>
      </c>
      <c r="P38" s="35">
        <f t="shared" si="14"/>
        <v>1393.6100000000001</v>
      </c>
    </row>
    <row r="39" spans="1:16" x14ac:dyDescent="0.25">
      <c r="A39" t="s">
        <v>59</v>
      </c>
      <c r="B39" t="s">
        <v>95</v>
      </c>
      <c r="C39" t="s">
        <v>82</v>
      </c>
      <c r="D39">
        <v>5350</v>
      </c>
      <c r="E39">
        <f t="shared" si="12"/>
        <v>5350</v>
      </c>
      <c r="F39" s="15">
        <v>0</v>
      </c>
      <c r="G39">
        <v>588.20000000000005</v>
      </c>
      <c r="H39">
        <v>50.77</v>
      </c>
      <c r="I39" s="15">
        <v>0</v>
      </c>
      <c r="J39" s="15">
        <v>0</v>
      </c>
      <c r="K39" s="15">
        <v>0</v>
      </c>
      <c r="L39">
        <f t="shared" si="15"/>
        <v>638.97</v>
      </c>
      <c r="M39" s="5">
        <f t="shared" si="13"/>
        <v>4711.03</v>
      </c>
      <c r="N39" s="10">
        <v>510.86</v>
      </c>
      <c r="O39" s="10">
        <v>882.75</v>
      </c>
      <c r="P39" s="35">
        <f t="shared" si="14"/>
        <v>1393.6100000000001</v>
      </c>
    </row>
    <row r="40" spans="1:16" x14ac:dyDescent="0.25">
      <c r="A40" t="s">
        <v>60</v>
      </c>
      <c r="B40" t="s">
        <v>102</v>
      </c>
      <c r="C40" t="s">
        <v>82</v>
      </c>
      <c r="D40">
        <v>5350</v>
      </c>
      <c r="E40">
        <f t="shared" si="12"/>
        <v>5350</v>
      </c>
      <c r="F40" s="15">
        <v>0</v>
      </c>
      <c r="G40">
        <v>588.20000000000005</v>
      </c>
      <c r="H40">
        <v>50.77</v>
      </c>
      <c r="I40" s="15">
        <v>0</v>
      </c>
      <c r="J40" s="15">
        <v>0</v>
      </c>
      <c r="K40" s="15">
        <v>0</v>
      </c>
      <c r="L40">
        <f t="shared" si="15"/>
        <v>638.97</v>
      </c>
      <c r="M40" s="5">
        <f t="shared" si="13"/>
        <v>4711.03</v>
      </c>
      <c r="N40" s="10">
        <v>510.86</v>
      </c>
      <c r="O40" s="10">
        <v>882.75</v>
      </c>
      <c r="P40" s="35">
        <f t="shared" si="14"/>
        <v>1393.6100000000001</v>
      </c>
    </row>
    <row r="41" spans="1:16" x14ac:dyDescent="0.25">
      <c r="A41" t="s">
        <v>61</v>
      </c>
      <c r="B41" t="s">
        <v>85</v>
      </c>
      <c r="C41" t="s">
        <v>83</v>
      </c>
      <c r="D41">
        <v>5350</v>
      </c>
      <c r="E41">
        <f t="shared" si="12"/>
        <v>5350</v>
      </c>
      <c r="F41" s="15">
        <v>0</v>
      </c>
      <c r="G41">
        <v>588.20000000000005</v>
      </c>
      <c r="H41">
        <v>50.77</v>
      </c>
      <c r="I41" s="15">
        <v>0</v>
      </c>
      <c r="J41" s="15">
        <v>0</v>
      </c>
      <c r="K41" s="15">
        <v>0</v>
      </c>
      <c r="L41">
        <f t="shared" si="15"/>
        <v>638.97</v>
      </c>
      <c r="M41" s="5">
        <f t="shared" si="13"/>
        <v>4711.03</v>
      </c>
      <c r="N41" s="10">
        <v>510.86</v>
      </c>
      <c r="O41" s="10">
        <v>882.75</v>
      </c>
      <c r="P41" s="35">
        <f t="shared" si="14"/>
        <v>1393.6100000000001</v>
      </c>
    </row>
    <row r="42" spans="1:16" x14ac:dyDescent="0.25">
      <c r="A42" t="s">
        <v>62</v>
      </c>
      <c r="B42" t="s">
        <v>103</v>
      </c>
      <c r="C42" t="s">
        <v>83</v>
      </c>
      <c r="D42">
        <v>5350</v>
      </c>
      <c r="E42">
        <f t="shared" si="12"/>
        <v>5350</v>
      </c>
      <c r="F42" s="15">
        <v>0</v>
      </c>
      <c r="G42">
        <v>588.20000000000005</v>
      </c>
      <c r="H42">
        <v>50.77</v>
      </c>
      <c r="I42" s="15">
        <v>0</v>
      </c>
      <c r="J42" s="15">
        <v>0</v>
      </c>
      <c r="K42" s="15">
        <v>0</v>
      </c>
      <c r="L42">
        <f t="shared" si="15"/>
        <v>638.97</v>
      </c>
      <c r="M42" s="5">
        <f t="shared" si="13"/>
        <v>4711.03</v>
      </c>
      <c r="N42" s="10">
        <v>510.86</v>
      </c>
      <c r="O42" s="10">
        <v>882.75</v>
      </c>
      <c r="P42" s="35">
        <f t="shared" si="14"/>
        <v>1393.6100000000001</v>
      </c>
    </row>
    <row r="43" spans="1:16" x14ac:dyDescent="0.25">
      <c r="A43" s="2" t="s">
        <v>26</v>
      </c>
      <c r="D43" s="34">
        <f>SUM(D32:D42)</f>
        <v>58850</v>
      </c>
      <c r="E43" s="34">
        <f t="shared" ref="E43:P43" si="16">SUM(E32:E42)</f>
        <v>58850</v>
      </c>
      <c r="F43" s="34">
        <f t="shared" si="16"/>
        <v>0</v>
      </c>
      <c r="G43" s="34">
        <f t="shared" si="16"/>
        <v>6470.1999999999989</v>
      </c>
      <c r="H43" s="34">
        <f t="shared" si="16"/>
        <v>558.46999999999991</v>
      </c>
      <c r="I43" s="34">
        <f t="shared" si="16"/>
        <v>0</v>
      </c>
      <c r="J43" s="34">
        <f t="shared" si="16"/>
        <v>0</v>
      </c>
      <c r="K43" s="34">
        <f t="shared" si="16"/>
        <v>0</v>
      </c>
      <c r="L43" s="34">
        <f t="shared" si="16"/>
        <v>7028.6700000000019</v>
      </c>
      <c r="M43" s="34">
        <f t="shared" si="16"/>
        <v>51821.329999999994</v>
      </c>
      <c r="N43" s="34">
        <f t="shared" si="16"/>
        <v>5619.46</v>
      </c>
      <c r="O43" s="34">
        <f t="shared" si="16"/>
        <v>9710.25</v>
      </c>
      <c r="P43" s="34">
        <f t="shared" si="16"/>
        <v>15329.710000000005</v>
      </c>
    </row>
    <row r="45" spans="1:16" x14ac:dyDescent="0.25">
      <c r="A45" s="2" t="s">
        <v>63</v>
      </c>
      <c r="B45" s="2" t="s">
        <v>64</v>
      </c>
    </row>
    <row r="46" spans="1:16" x14ac:dyDescent="0.25">
      <c r="A46" t="s">
        <v>65</v>
      </c>
      <c r="B46" t="s">
        <v>99</v>
      </c>
      <c r="C46" t="s">
        <v>80</v>
      </c>
      <c r="D46">
        <v>5350</v>
      </c>
      <c r="E46">
        <f>D46</f>
        <v>5350</v>
      </c>
      <c r="F46" s="15">
        <v>0</v>
      </c>
      <c r="G46">
        <v>588.20000000000005</v>
      </c>
      <c r="H46">
        <v>50.77</v>
      </c>
      <c r="I46" s="15">
        <v>0</v>
      </c>
      <c r="J46" s="15">
        <v>0</v>
      </c>
      <c r="K46" s="15">
        <v>0</v>
      </c>
      <c r="L46">
        <f t="shared" ref="L46" si="17">SUM(F46:K46)</f>
        <v>638.97</v>
      </c>
      <c r="M46" s="5">
        <f>E46-L46</f>
        <v>4711.03</v>
      </c>
      <c r="N46" s="10">
        <v>510.86</v>
      </c>
      <c r="O46" s="10">
        <v>882.75</v>
      </c>
      <c r="P46" s="35">
        <f t="shared" ref="P46" si="18">N46+O46</f>
        <v>1393.6100000000001</v>
      </c>
    </row>
    <row r="47" spans="1:16" x14ac:dyDescent="0.25">
      <c r="A47" s="2" t="s">
        <v>26</v>
      </c>
      <c r="D47" s="34">
        <f>D46</f>
        <v>5350</v>
      </c>
      <c r="E47" s="34">
        <f t="shared" ref="E47:P47" si="19">E46</f>
        <v>5350</v>
      </c>
      <c r="F47" s="34">
        <f t="shared" si="19"/>
        <v>0</v>
      </c>
      <c r="G47" s="34">
        <f t="shared" si="19"/>
        <v>588.20000000000005</v>
      </c>
      <c r="H47" s="34">
        <f t="shared" si="19"/>
        <v>50.77</v>
      </c>
      <c r="I47" s="34">
        <f t="shared" si="19"/>
        <v>0</v>
      </c>
      <c r="J47" s="34">
        <f t="shared" si="19"/>
        <v>0</v>
      </c>
      <c r="K47" s="34">
        <f t="shared" si="19"/>
        <v>0</v>
      </c>
      <c r="L47" s="34">
        <f t="shared" si="19"/>
        <v>638.97</v>
      </c>
      <c r="M47" s="34">
        <f t="shared" si="19"/>
        <v>4711.03</v>
      </c>
      <c r="N47" s="34">
        <f t="shared" si="19"/>
        <v>510.86</v>
      </c>
      <c r="O47" s="34">
        <f t="shared" si="19"/>
        <v>882.75</v>
      </c>
      <c r="P47" s="34">
        <f t="shared" si="19"/>
        <v>1393.6100000000001</v>
      </c>
    </row>
    <row r="49" spans="1:16" x14ac:dyDescent="0.25">
      <c r="A49" s="2" t="s">
        <v>66</v>
      </c>
    </row>
    <row r="50" spans="1:16" x14ac:dyDescent="0.25">
      <c r="A50" t="s">
        <v>67</v>
      </c>
      <c r="C50" t="s">
        <v>84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</row>
    <row r="51" spans="1:16" x14ac:dyDescent="0.25">
      <c r="A51" s="11" t="s">
        <v>68</v>
      </c>
      <c r="B51" s="11" t="s">
        <v>92</v>
      </c>
      <c r="C51" s="11" t="s">
        <v>7</v>
      </c>
      <c r="D51" s="11">
        <v>2000</v>
      </c>
      <c r="E51" s="11">
        <f>D51</f>
        <v>2000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f>SUM(F51:K51)</f>
        <v>0</v>
      </c>
      <c r="M51" s="11">
        <f>E51-L51</f>
        <v>2000</v>
      </c>
      <c r="N51" s="15">
        <v>0</v>
      </c>
      <c r="O51" s="15">
        <v>0</v>
      </c>
      <c r="P51" s="15">
        <v>0</v>
      </c>
    </row>
    <row r="52" spans="1:16" x14ac:dyDescent="0.25">
      <c r="A52" t="s">
        <v>69</v>
      </c>
      <c r="C52" t="s">
        <v>7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</row>
    <row r="53" spans="1:16" x14ac:dyDescent="0.25">
      <c r="A53" t="s">
        <v>70</v>
      </c>
      <c r="C53" t="s">
        <v>7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</row>
    <row r="54" spans="1:16" x14ac:dyDescent="0.25">
      <c r="A54" t="s">
        <v>71</v>
      </c>
      <c r="C54" t="s">
        <v>7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</row>
    <row r="55" spans="1:16" x14ac:dyDescent="0.25">
      <c r="A55" s="2" t="s">
        <v>26</v>
      </c>
      <c r="D55" s="8">
        <f>SUM(D50:D54)</f>
        <v>2000</v>
      </c>
      <c r="E55" s="8">
        <f t="shared" ref="E55:P55" si="20">SUM(E50:E54)</f>
        <v>2000</v>
      </c>
      <c r="F55" s="8">
        <f t="shared" si="20"/>
        <v>0</v>
      </c>
      <c r="G55" s="8">
        <f t="shared" si="20"/>
        <v>0</v>
      </c>
      <c r="H55" s="8">
        <f t="shared" si="20"/>
        <v>0</v>
      </c>
      <c r="I55" s="8">
        <f t="shared" si="20"/>
        <v>0</v>
      </c>
      <c r="J55" s="8">
        <f t="shared" si="20"/>
        <v>0</v>
      </c>
      <c r="K55" s="8">
        <f t="shared" si="20"/>
        <v>0</v>
      </c>
      <c r="L55" s="8">
        <f t="shared" si="20"/>
        <v>0</v>
      </c>
      <c r="M55" s="8">
        <f t="shared" si="20"/>
        <v>2000</v>
      </c>
      <c r="N55" s="8">
        <f t="shared" si="20"/>
        <v>0</v>
      </c>
      <c r="O55" s="8">
        <f t="shared" si="20"/>
        <v>0</v>
      </c>
      <c r="P55" s="8">
        <f t="shared" si="20"/>
        <v>0</v>
      </c>
    </row>
    <row r="58" spans="1:16" ht="18.75" x14ac:dyDescent="0.3">
      <c r="C58" s="4" t="s">
        <v>105</v>
      </c>
      <c r="D58" s="9">
        <f>D8+D19+D24+D29+D43+D47+D55</f>
        <v>108704.95</v>
      </c>
      <c r="E58" s="9">
        <f>E8+E19+E24+E29+E43+E47+E55</f>
        <v>108704.95</v>
      </c>
      <c r="F58" s="9">
        <f t="shared" ref="F58:P58" si="21">F8+F19+F24+F29+F43+F47+F55</f>
        <v>0</v>
      </c>
      <c r="G58" s="9">
        <f t="shared" si="21"/>
        <v>12758.38</v>
      </c>
      <c r="H58" s="9">
        <f t="shared" si="21"/>
        <v>1024.7049999999999</v>
      </c>
      <c r="I58" s="9">
        <f t="shared" si="21"/>
        <v>0</v>
      </c>
      <c r="J58" s="9">
        <f t="shared" si="21"/>
        <v>0</v>
      </c>
      <c r="K58" s="9">
        <f t="shared" si="21"/>
        <v>0</v>
      </c>
      <c r="L58" s="9">
        <f t="shared" si="21"/>
        <v>13783.085000000001</v>
      </c>
      <c r="M58" s="9">
        <f t="shared" si="21"/>
        <v>94921.864999999991</v>
      </c>
      <c r="N58" s="9">
        <f t="shared" si="21"/>
        <v>10016.870000000001</v>
      </c>
      <c r="O58" s="9">
        <f t="shared" si="21"/>
        <v>17606.309999999998</v>
      </c>
      <c r="P58" s="9">
        <f t="shared" si="21"/>
        <v>27623.180000000008</v>
      </c>
    </row>
    <row r="61" spans="1:16" x14ac:dyDescent="0.25">
      <c r="B61" s="33"/>
    </row>
  </sheetData>
  <mergeCells count="1">
    <mergeCell ref="D2:P2"/>
  </mergeCells>
  <pageMargins left="0.7" right="0.7" top="0.75" bottom="0.75" header="0.3" footer="0.3"/>
  <pageSetup paperSize="9" orientation="portrait" verticalDpi="0" r:id="rId1"/>
  <ignoredErrors>
    <ignoredError sqref="L28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U60"/>
  <sheetViews>
    <sheetView topLeftCell="A26" zoomScale="85" zoomScaleNormal="85" workbookViewId="0">
      <selection activeCell="R52" sqref="R52"/>
    </sheetView>
  </sheetViews>
  <sheetFormatPr baseColWidth="10" defaultRowHeight="15" x14ac:dyDescent="0.25"/>
  <cols>
    <col min="1" max="1" width="0.7109375" customWidth="1"/>
    <col min="2" max="2" width="17.140625" customWidth="1"/>
    <col min="3" max="3" width="34.140625" customWidth="1"/>
    <col min="4" max="4" width="28" customWidth="1"/>
    <col min="5" max="5" width="18.42578125" customWidth="1"/>
    <col min="6" max="6" width="12.7109375" customWidth="1"/>
    <col min="7" max="7" width="12.28515625" customWidth="1"/>
    <col min="8" max="8" width="14.140625" customWidth="1"/>
    <col min="9" max="9" width="13.85546875" customWidth="1"/>
    <col min="10" max="10" width="0" hidden="1" customWidth="1"/>
    <col min="11" max="11" width="14.42578125" customWidth="1"/>
    <col min="12" max="12" width="9.42578125" customWidth="1"/>
    <col min="13" max="13" width="14.42578125" customWidth="1"/>
    <col min="14" max="14" width="12.7109375" customWidth="1"/>
    <col min="15" max="15" width="11.42578125" hidden="1" customWidth="1"/>
    <col min="16" max="16" width="12.85546875" customWidth="1"/>
    <col min="17" max="17" width="16.5703125" customWidth="1"/>
    <col min="18" max="18" width="18.28515625" customWidth="1"/>
    <col min="19" max="19" width="16.140625" customWidth="1"/>
    <col min="20" max="20" width="14.85546875" customWidth="1"/>
    <col min="21" max="21" width="17" customWidth="1"/>
  </cols>
  <sheetData>
    <row r="3" spans="2:21" x14ac:dyDescent="0.25"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2:21" ht="16.5" customHeight="1" x14ac:dyDescent="0.25">
      <c r="B4" s="372" t="s">
        <v>181</v>
      </c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</row>
    <row r="5" spans="2:21" s="56" customFormat="1" ht="39.75" customHeight="1" thickBot="1" x14ac:dyDescent="0.3">
      <c r="B5" s="42" t="s">
        <v>9</v>
      </c>
      <c r="C5" s="43" t="s">
        <v>10</v>
      </c>
      <c r="D5" s="43" t="s">
        <v>0</v>
      </c>
      <c r="E5" s="44" t="s">
        <v>11</v>
      </c>
      <c r="F5" s="44" t="s">
        <v>150</v>
      </c>
      <c r="G5" s="61" t="s">
        <v>180</v>
      </c>
      <c r="H5" s="61" t="s">
        <v>182</v>
      </c>
      <c r="I5" s="45" t="s">
        <v>169</v>
      </c>
      <c r="J5" s="44" t="s">
        <v>170</v>
      </c>
      <c r="K5" s="44" t="s">
        <v>12</v>
      </c>
      <c r="L5" s="44" t="s">
        <v>107</v>
      </c>
      <c r="M5" s="44" t="s">
        <v>143</v>
      </c>
      <c r="N5" s="44" t="s">
        <v>13</v>
      </c>
      <c r="O5" s="44" t="s">
        <v>171</v>
      </c>
      <c r="P5" s="44" t="s">
        <v>16</v>
      </c>
      <c r="Q5" s="44" t="s">
        <v>17</v>
      </c>
      <c r="R5" s="44" t="s">
        <v>72</v>
      </c>
      <c r="S5" s="43" t="s">
        <v>8</v>
      </c>
      <c r="T5" s="43" t="s">
        <v>18</v>
      </c>
      <c r="U5" s="46" t="s">
        <v>73</v>
      </c>
    </row>
    <row r="6" spans="2:21" ht="15.75" thickTop="1" x14ac:dyDescent="0.25">
      <c r="B6" s="2" t="s">
        <v>19</v>
      </c>
      <c r="C6" s="2" t="s">
        <v>20</v>
      </c>
      <c r="D6" s="2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2:21" x14ac:dyDescent="0.25">
      <c r="B7" t="s">
        <v>21</v>
      </c>
      <c r="C7" s="11" t="s">
        <v>22</v>
      </c>
      <c r="D7" t="s">
        <v>25</v>
      </c>
      <c r="E7" s="15">
        <v>16954.95</v>
      </c>
      <c r="F7" s="29">
        <v>15</v>
      </c>
      <c r="G7" s="15">
        <v>2700</v>
      </c>
      <c r="H7" s="15"/>
      <c r="I7" s="15"/>
      <c r="J7" s="15"/>
      <c r="K7" s="15">
        <f>E7-I7</f>
        <v>16954.95</v>
      </c>
      <c r="L7" s="15">
        <v>0</v>
      </c>
      <c r="M7" s="15">
        <v>3246.93</v>
      </c>
      <c r="N7" s="15">
        <f>M7-L7</f>
        <v>3246.93</v>
      </c>
      <c r="O7" s="15">
        <v>0</v>
      </c>
      <c r="P7" s="15">
        <f>E7*0.115</f>
        <v>1949.8192500000002</v>
      </c>
      <c r="Q7" s="15">
        <f>SUM(N7:P7)+G7</f>
        <v>7896.7492499999998</v>
      </c>
      <c r="R7" s="67">
        <f>K7-Q7</f>
        <v>9058.20075</v>
      </c>
      <c r="S7" s="11">
        <v>328.67</v>
      </c>
      <c r="T7" s="11">
        <v>3390.99</v>
      </c>
      <c r="U7" s="35">
        <f>SUM(S7:T7)</f>
        <v>3719.66</v>
      </c>
    </row>
    <row r="8" spans="2:21" x14ac:dyDescent="0.25">
      <c r="B8" t="s">
        <v>23</v>
      </c>
      <c r="C8" s="11" t="s">
        <v>24</v>
      </c>
      <c r="D8" t="s">
        <v>3</v>
      </c>
      <c r="E8" s="15">
        <v>4850</v>
      </c>
      <c r="F8" s="29">
        <v>15</v>
      </c>
      <c r="G8" s="15">
        <v>809</v>
      </c>
      <c r="H8" s="15"/>
      <c r="I8" s="15"/>
      <c r="J8" s="15"/>
      <c r="K8" s="15">
        <f>E8-I8</f>
        <v>4850</v>
      </c>
      <c r="L8" s="15">
        <v>0</v>
      </c>
      <c r="M8" s="15">
        <v>491.69</v>
      </c>
      <c r="N8" s="15">
        <f t="shared" ref="N8" si="0">M8-L8</f>
        <v>491.69</v>
      </c>
      <c r="O8" s="15">
        <v>0</v>
      </c>
      <c r="P8" s="15">
        <f>E8*0.115</f>
        <v>557.75</v>
      </c>
      <c r="Q8" s="15">
        <f>SUM(N8:P8)+G8</f>
        <v>1858.44</v>
      </c>
      <c r="R8" s="67">
        <f>K8-Q8</f>
        <v>2991.56</v>
      </c>
      <c r="S8" s="11">
        <v>253.58</v>
      </c>
      <c r="T8" s="11">
        <v>970</v>
      </c>
      <c r="U8" s="35">
        <f t="shared" ref="U8" si="1">SUM(S8:T8)</f>
        <v>1223.58</v>
      </c>
    </row>
    <row r="9" spans="2:21" x14ac:dyDescent="0.25">
      <c r="B9" s="7" t="s">
        <v>26</v>
      </c>
      <c r="C9" s="30"/>
      <c r="D9" s="30"/>
      <c r="E9" s="34">
        <f>SUM(E7:E8)</f>
        <v>21804.95</v>
      </c>
      <c r="F9" s="34"/>
      <c r="G9" s="34">
        <f>+G8+G7</f>
        <v>3509</v>
      </c>
      <c r="H9" s="34"/>
      <c r="I9" s="34">
        <f t="shared" ref="I9:U9" si="2">SUM(I7:I8)</f>
        <v>0</v>
      </c>
      <c r="J9" s="34">
        <f t="shared" si="2"/>
        <v>0</v>
      </c>
      <c r="K9" s="34">
        <f t="shared" si="2"/>
        <v>21804.95</v>
      </c>
      <c r="L9" s="34">
        <f t="shared" si="2"/>
        <v>0</v>
      </c>
      <c r="M9" s="34">
        <f t="shared" si="2"/>
        <v>3738.62</v>
      </c>
      <c r="N9" s="34">
        <f t="shared" si="2"/>
        <v>3738.62</v>
      </c>
      <c r="O9" s="34">
        <f t="shared" si="2"/>
        <v>0</v>
      </c>
      <c r="P9" s="34">
        <f t="shared" si="2"/>
        <v>2507.5692500000005</v>
      </c>
      <c r="Q9" s="34">
        <f t="shared" si="2"/>
        <v>9755.1892499999994</v>
      </c>
      <c r="R9" s="34">
        <f t="shared" si="2"/>
        <v>12049.760749999999</v>
      </c>
      <c r="S9" s="34">
        <f t="shared" si="2"/>
        <v>582.25</v>
      </c>
      <c r="T9" s="34">
        <f t="shared" si="2"/>
        <v>4360.99</v>
      </c>
      <c r="U9" s="34">
        <f t="shared" si="2"/>
        <v>4943.24</v>
      </c>
    </row>
    <row r="10" spans="2:21" ht="10.5" hidden="1" customHeight="1" x14ac:dyDescent="0.25"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2:21" x14ac:dyDescent="0.25">
      <c r="B11" s="2" t="s">
        <v>27</v>
      </c>
      <c r="C11" s="2" t="s">
        <v>28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2:21" x14ac:dyDescent="0.25">
      <c r="B12" t="s">
        <v>32</v>
      </c>
      <c r="C12" s="11" t="s">
        <v>37</v>
      </c>
      <c r="D12" t="s">
        <v>1</v>
      </c>
      <c r="E12" s="15">
        <v>10000</v>
      </c>
      <c r="F12" s="29">
        <v>15</v>
      </c>
      <c r="G12" s="15"/>
      <c r="H12" s="15"/>
      <c r="I12" s="15"/>
      <c r="J12" s="15"/>
      <c r="K12" s="15">
        <f t="shared" ref="K12:K19" si="3">E12-I12</f>
        <v>10000</v>
      </c>
      <c r="L12" s="15">
        <v>0</v>
      </c>
      <c r="M12" s="15">
        <v>1581.44</v>
      </c>
      <c r="N12" s="15">
        <f>M12-L12</f>
        <v>1581.44</v>
      </c>
      <c r="O12" s="15">
        <v>0</v>
      </c>
      <c r="P12" s="15">
        <f t="shared" ref="P12:P19" si="4">E12*0.115</f>
        <v>1150</v>
      </c>
      <c r="Q12" s="15">
        <f>SUM(N12:P12)+G12</f>
        <v>2731.44</v>
      </c>
      <c r="R12" s="67">
        <f t="shared" ref="R12:R19" si="5">K12-Q12</f>
        <v>7268.5599999999995</v>
      </c>
      <c r="S12" s="11">
        <v>285.52999999999997</v>
      </c>
      <c r="T12" s="11">
        <v>2000</v>
      </c>
      <c r="U12" s="35">
        <f>S12+T12</f>
        <v>2285.5299999999997</v>
      </c>
    </row>
    <row r="13" spans="2:21" x14ac:dyDescent="0.25">
      <c r="B13" t="s">
        <v>33</v>
      </c>
      <c r="C13" s="11" t="s">
        <v>38</v>
      </c>
      <c r="D13" t="s">
        <v>74</v>
      </c>
      <c r="E13" s="15">
        <v>5350</v>
      </c>
      <c r="F13" s="29">
        <v>15</v>
      </c>
      <c r="G13" s="15"/>
      <c r="H13" s="15"/>
      <c r="I13" s="19"/>
      <c r="J13" s="19"/>
      <c r="K13" s="15">
        <f t="shared" si="3"/>
        <v>5350</v>
      </c>
      <c r="L13" s="15">
        <v>0</v>
      </c>
      <c r="M13" s="15">
        <v>586.75</v>
      </c>
      <c r="N13" s="15">
        <v>588.20000000000005</v>
      </c>
      <c r="O13" s="15">
        <v>0</v>
      </c>
      <c r="P13" s="15">
        <f t="shared" si="4"/>
        <v>615.25</v>
      </c>
      <c r="Q13" s="15">
        <f t="shared" ref="Q13:Q19" si="6">SUM(N13:P13)+G13</f>
        <v>1203.45</v>
      </c>
      <c r="R13" s="67">
        <f t="shared" si="5"/>
        <v>4146.55</v>
      </c>
      <c r="S13" s="11">
        <v>256.68</v>
      </c>
      <c r="T13" s="11">
        <v>1070</v>
      </c>
      <c r="U13" s="35">
        <f>S13+T13</f>
        <v>1326.68</v>
      </c>
    </row>
    <row r="14" spans="2:21" x14ac:dyDescent="0.25">
      <c r="B14" t="s">
        <v>34</v>
      </c>
      <c r="C14" s="11" t="s">
        <v>178</v>
      </c>
      <c r="D14" t="s">
        <v>179</v>
      </c>
      <c r="E14" s="15">
        <v>5350</v>
      </c>
      <c r="F14" s="29">
        <v>15</v>
      </c>
      <c r="G14" s="15"/>
      <c r="H14" s="18">
        <v>615.25</v>
      </c>
      <c r="I14" s="19"/>
      <c r="J14" s="19"/>
      <c r="K14" s="15">
        <f>+E14+H14</f>
        <v>5965.25</v>
      </c>
      <c r="L14" s="15">
        <v>0</v>
      </c>
      <c r="M14" s="15">
        <v>586.75</v>
      </c>
      <c r="N14" s="15">
        <v>588.20000000000005</v>
      </c>
      <c r="O14" s="15">
        <v>0</v>
      </c>
      <c r="P14" s="15"/>
      <c r="Q14" s="15">
        <f>SUM(N14:P14)+G14</f>
        <v>588.20000000000005</v>
      </c>
      <c r="R14" s="67">
        <f t="shared" si="5"/>
        <v>5377.05</v>
      </c>
      <c r="S14" s="11">
        <v>256.68</v>
      </c>
      <c r="T14" s="11">
        <v>0</v>
      </c>
      <c r="U14" s="35">
        <f>S14+T14</f>
        <v>256.68</v>
      </c>
    </row>
    <row r="15" spans="2:21" x14ac:dyDescent="0.25">
      <c r="B15" t="s">
        <v>35</v>
      </c>
      <c r="C15" t="s">
        <v>111</v>
      </c>
      <c r="D15" t="s">
        <v>77</v>
      </c>
      <c r="E15" s="15">
        <v>6000</v>
      </c>
      <c r="F15" s="29">
        <v>15</v>
      </c>
      <c r="G15" s="15"/>
      <c r="H15" s="15"/>
      <c r="I15" s="15"/>
      <c r="J15" s="15"/>
      <c r="K15" s="15">
        <f t="shared" si="3"/>
        <v>6000</v>
      </c>
      <c r="L15" s="15">
        <v>0</v>
      </c>
      <c r="M15" s="15">
        <v>727.04</v>
      </c>
      <c r="N15" s="15">
        <f t="shared" ref="N15:N19" si="7">M15-L15</f>
        <v>727.04</v>
      </c>
      <c r="O15" s="15">
        <v>0</v>
      </c>
      <c r="P15" s="15">
        <f t="shared" si="4"/>
        <v>690</v>
      </c>
      <c r="Q15" s="15">
        <f t="shared" si="6"/>
        <v>1417.04</v>
      </c>
      <c r="R15" s="67">
        <f t="shared" si="5"/>
        <v>4582.96</v>
      </c>
      <c r="S15" s="11">
        <v>260.72000000000003</v>
      </c>
      <c r="T15" s="11">
        <v>1200</v>
      </c>
      <c r="U15" s="35">
        <f>S15+T15</f>
        <v>1460.72</v>
      </c>
    </row>
    <row r="16" spans="2:21" x14ac:dyDescent="0.25">
      <c r="B16" t="s">
        <v>36</v>
      </c>
      <c r="C16" t="s">
        <v>86</v>
      </c>
      <c r="D16" t="s">
        <v>39</v>
      </c>
      <c r="E16" s="15">
        <v>4500</v>
      </c>
      <c r="F16" s="29">
        <v>15</v>
      </c>
      <c r="G16" s="15">
        <v>750</v>
      </c>
      <c r="H16" s="15"/>
      <c r="I16" s="15"/>
      <c r="J16" s="15"/>
      <c r="K16" s="15">
        <f t="shared" si="3"/>
        <v>4500</v>
      </c>
      <c r="L16" s="15">
        <v>0</v>
      </c>
      <c r="M16" s="15">
        <v>428.97</v>
      </c>
      <c r="N16" s="15">
        <f t="shared" si="7"/>
        <v>428.97</v>
      </c>
      <c r="O16" s="15">
        <v>0</v>
      </c>
      <c r="P16" s="15">
        <f t="shared" si="4"/>
        <v>517.5</v>
      </c>
      <c r="Q16" s="15">
        <f t="shared" si="6"/>
        <v>1696.47</v>
      </c>
      <c r="R16" s="67">
        <f t="shared" si="5"/>
        <v>2803.5299999999997</v>
      </c>
      <c r="S16" s="11">
        <v>251.41</v>
      </c>
      <c r="T16" s="11">
        <v>900</v>
      </c>
      <c r="U16" s="35">
        <f>S16+T16</f>
        <v>1151.4100000000001</v>
      </c>
    </row>
    <row r="17" spans="2:21" x14ac:dyDescent="0.25">
      <c r="B17" t="s">
        <v>115</v>
      </c>
      <c r="C17" t="s">
        <v>87</v>
      </c>
      <c r="D17" t="s">
        <v>39</v>
      </c>
      <c r="E17" s="15">
        <v>4500</v>
      </c>
      <c r="F17" s="29">
        <v>15</v>
      </c>
      <c r="G17" s="15">
        <v>610</v>
      </c>
      <c r="H17" s="15"/>
      <c r="I17" s="15"/>
      <c r="J17" s="15"/>
      <c r="K17" s="15">
        <f t="shared" si="3"/>
        <v>4500</v>
      </c>
      <c r="L17" s="15">
        <v>0</v>
      </c>
      <c r="M17" s="15">
        <v>428.97</v>
      </c>
      <c r="N17" s="15">
        <v>428.97</v>
      </c>
      <c r="O17" s="15">
        <v>0</v>
      </c>
      <c r="P17" s="15">
        <f t="shared" si="4"/>
        <v>517.5</v>
      </c>
      <c r="Q17" s="15">
        <f t="shared" si="6"/>
        <v>1556.47</v>
      </c>
      <c r="R17" s="67">
        <f t="shared" si="5"/>
        <v>2943.5299999999997</v>
      </c>
      <c r="S17" s="11">
        <v>251.41</v>
      </c>
      <c r="T17" s="11">
        <v>900</v>
      </c>
      <c r="U17" s="35">
        <f t="shared" ref="U17:U19" si="8">S17+T17</f>
        <v>1151.4100000000001</v>
      </c>
    </row>
    <row r="18" spans="2:21" x14ac:dyDescent="0.25">
      <c r="B18" t="s">
        <v>116</v>
      </c>
      <c r="C18" t="s">
        <v>89</v>
      </c>
      <c r="D18" t="s">
        <v>4</v>
      </c>
      <c r="E18" s="15">
        <v>2700</v>
      </c>
      <c r="F18" s="29">
        <v>15</v>
      </c>
      <c r="G18" s="15">
        <v>450</v>
      </c>
      <c r="H18" s="15"/>
      <c r="I18" s="15"/>
      <c r="J18" s="15"/>
      <c r="K18" s="15">
        <f t="shared" si="3"/>
        <v>2700</v>
      </c>
      <c r="L18" s="15">
        <v>147.32</v>
      </c>
      <c r="M18" s="15">
        <v>188.33</v>
      </c>
      <c r="N18" s="15">
        <f t="shared" si="7"/>
        <v>41.010000000000019</v>
      </c>
      <c r="O18" s="15">
        <v>0</v>
      </c>
      <c r="P18" s="15">
        <f t="shared" si="4"/>
        <v>310.5</v>
      </c>
      <c r="Q18" s="15">
        <f t="shared" si="6"/>
        <v>801.51</v>
      </c>
      <c r="R18" s="67">
        <f t="shared" si="5"/>
        <v>1898.49</v>
      </c>
      <c r="S18" s="11">
        <v>240.25</v>
      </c>
      <c r="T18" s="11">
        <v>540</v>
      </c>
      <c r="U18" s="35">
        <f t="shared" si="8"/>
        <v>780.25</v>
      </c>
    </row>
    <row r="19" spans="2:21" x14ac:dyDescent="0.25">
      <c r="B19" t="s">
        <v>117</v>
      </c>
      <c r="C19" t="s">
        <v>88</v>
      </c>
      <c r="D19" t="s">
        <v>40</v>
      </c>
      <c r="E19" s="15">
        <v>3150</v>
      </c>
      <c r="F19" s="29">
        <v>15</v>
      </c>
      <c r="G19" s="15">
        <v>1029</v>
      </c>
      <c r="H19" s="15"/>
      <c r="I19" s="15"/>
      <c r="J19" s="15"/>
      <c r="K19" s="15">
        <f t="shared" si="3"/>
        <v>3150</v>
      </c>
      <c r="L19" s="15">
        <v>126.77</v>
      </c>
      <c r="M19" s="15">
        <v>237.29</v>
      </c>
      <c r="N19" s="15">
        <f t="shared" si="7"/>
        <v>110.52</v>
      </c>
      <c r="O19" s="15">
        <v>0</v>
      </c>
      <c r="P19" s="15">
        <f t="shared" si="4"/>
        <v>362.25</v>
      </c>
      <c r="Q19" s="15">
        <f t="shared" si="6"/>
        <v>1501.77</v>
      </c>
      <c r="R19" s="67">
        <f t="shared" si="5"/>
        <v>1648.23</v>
      </c>
      <c r="S19" s="11">
        <v>243.04</v>
      </c>
      <c r="T19" s="11">
        <v>630</v>
      </c>
      <c r="U19" s="35">
        <f t="shared" si="8"/>
        <v>873.04</v>
      </c>
    </row>
    <row r="20" spans="2:21" x14ac:dyDescent="0.25">
      <c r="B20" s="2" t="s">
        <v>26</v>
      </c>
      <c r="C20" s="30"/>
      <c r="D20" s="30"/>
      <c r="E20" s="34">
        <f>SUM(E12:E19)</f>
        <v>41550</v>
      </c>
      <c r="F20" s="34"/>
      <c r="G20" s="34">
        <f>+G19+G18+G17+G16</f>
        <v>2839</v>
      </c>
      <c r="H20" s="34"/>
      <c r="I20" s="34">
        <f t="shared" ref="I20:U20" si="9">SUM(I12:I19)</f>
        <v>0</v>
      </c>
      <c r="J20" s="34">
        <f t="shared" si="9"/>
        <v>0</v>
      </c>
      <c r="K20" s="34">
        <f t="shared" si="9"/>
        <v>42165.25</v>
      </c>
      <c r="L20" s="34">
        <f t="shared" si="9"/>
        <v>274.08999999999997</v>
      </c>
      <c r="M20" s="34">
        <f t="shared" si="9"/>
        <v>4765.54</v>
      </c>
      <c r="N20" s="34">
        <f t="shared" si="9"/>
        <v>4494.3500000000013</v>
      </c>
      <c r="O20" s="34">
        <f t="shared" si="9"/>
        <v>0</v>
      </c>
      <c r="P20" s="34">
        <f t="shared" si="9"/>
        <v>4163</v>
      </c>
      <c r="Q20" s="34">
        <f t="shared" si="9"/>
        <v>11496.35</v>
      </c>
      <c r="R20" s="34">
        <f t="shared" si="9"/>
        <v>30668.899999999998</v>
      </c>
      <c r="S20" s="34">
        <f t="shared" si="9"/>
        <v>2045.7200000000003</v>
      </c>
      <c r="T20" s="34">
        <f t="shared" si="9"/>
        <v>7240</v>
      </c>
      <c r="U20" s="34">
        <f t="shared" si="9"/>
        <v>9285.7200000000012</v>
      </c>
    </row>
    <row r="21" spans="2:21" hidden="1" x14ac:dyDescent="0.25">
      <c r="B21" s="2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2:21" x14ac:dyDescent="0.25">
      <c r="B22" s="2" t="s">
        <v>50</v>
      </c>
      <c r="C22" s="2" t="s">
        <v>160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2:21" x14ac:dyDescent="0.25">
      <c r="B23" t="s">
        <v>119</v>
      </c>
      <c r="C23" t="s">
        <v>91</v>
      </c>
      <c r="D23" t="s">
        <v>76</v>
      </c>
      <c r="E23" s="15">
        <v>5350</v>
      </c>
      <c r="F23" s="29">
        <v>15</v>
      </c>
      <c r="G23" s="15"/>
      <c r="H23" s="15"/>
      <c r="I23" s="15"/>
      <c r="J23" s="15"/>
      <c r="K23" s="15">
        <f>E23-I23</f>
        <v>5350</v>
      </c>
      <c r="L23" s="15">
        <v>0</v>
      </c>
      <c r="M23" s="15">
        <v>453.47</v>
      </c>
      <c r="N23" s="15">
        <v>588.20000000000005</v>
      </c>
      <c r="O23" s="15">
        <v>0</v>
      </c>
      <c r="P23" s="15">
        <f>E23*0.115</f>
        <v>615.25</v>
      </c>
      <c r="Q23" s="15">
        <f>SUM(N23:P23)+G23</f>
        <v>1203.45</v>
      </c>
      <c r="R23" s="67">
        <f>K23-Q23</f>
        <v>4146.55</v>
      </c>
      <c r="S23" s="11">
        <v>256.68</v>
      </c>
      <c r="T23" s="11">
        <v>1070</v>
      </c>
      <c r="U23" s="35">
        <f>S23+T23</f>
        <v>1326.68</v>
      </c>
    </row>
    <row r="24" spans="2:21" x14ac:dyDescent="0.25">
      <c r="B24" t="s">
        <v>120</v>
      </c>
      <c r="C24" t="s">
        <v>93</v>
      </c>
      <c r="D24" t="s">
        <v>78</v>
      </c>
      <c r="E24" s="15">
        <v>5350</v>
      </c>
      <c r="F24" s="29">
        <v>15</v>
      </c>
      <c r="G24" s="15"/>
      <c r="H24" s="15"/>
      <c r="I24" s="15"/>
      <c r="J24" s="15"/>
      <c r="K24" s="15">
        <f>E24-I24</f>
        <v>5350</v>
      </c>
      <c r="L24" s="15">
        <v>0</v>
      </c>
      <c r="M24" s="15">
        <v>588.20000000000005</v>
      </c>
      <c r="N24" s="15">
        <f>M24-L24</f>
        <v>588.20000000000005</v>
      </c>
      <c r="O24" s="15">
        <v>0</v>
      </c>
      <c r="P24" s="15">
        <f>E24*0.115</f>
        <v>615.25</v>
      </c>
      <c r="Q24" s="15">
        <f>SUM(N24:P24)+G24</f>
        <v>1203.45</v>
      </c>
      <c r="R24" s="67">
        <f>K24-Q24</f>
        <v>4146.55</v>
      </c>
      <c r="S24" s="11">
        <v>256.68</v>
      </c>
      <c r="T24" s="11">
        <v>1070</v>
      </c>
      <c r="U24" s="35">
        <f>S24+T24</f>
        <v>1326.68</v>
      </c>
    </row>
    <row r="25" spans="2:21" x14ac:dyDescent="0.25">
      <c r="B25" t="s">
        <v>121</v>
      </c>
      <c r="C25" t="s">
        <v>114</v>
      </c>
      <c r="D25" t="s">
        <v>79</v>
      </c>
      <c r="E25" s="15">
        <v>5350</v>
      </c>
      <c r="F25" s="29">
        <v>15</v>
      </c>
      <c r="G25" s="15"/>
      <c r="H25" s="15"/>
      <c r="I25" s="15"/>
      <c r="J25" s="15"/>
      <c r="K25" s="15">
        <f>E25-I25</f>
        <v>5350</v>
      </c>
      <c r="L25" s="15">
        <v>0</v>
      </c>
      <c r="M25" s="15">
        <v>588.20000000000005</v>
      </c>
      <c r="N25" s="15">
        <f>M25-L25</f>
        <v>588.20000000000005</v>
      </c>
      <c r="O25" s="15">
        <v>0</v>
      </c>
      <c r="P25" s="15">
        <f>E25*0.115</f>
        <v>615.25</v>
      </c>
      <c r="Q25" s="15">
        <f>SUM(N25:P25)+G25</f>
        <v>1203.45</v>
      </c>
      <c r="R25" s="67">
        <f>K25-Q25</f>
        <v>4146.55</v>
      </c>
      <c r="S25" s="11">
        <v>256.68</v>
      </c>
      <c r="T25" s="11">
        <v>1070</v>
      </c>
      <c r="U25" s="35">
        <f>S25+T25</f>
        <v>1326.68</v>
      </c>
    </row>
    <row r="26" spans="2:21" x14ac:dyDescent="0.25">
      <c r="B26" s="2" t="s">
        <v>26</v>
      </c>
      <c r="C26" s="30"/>
      <c r="D26" s="30"/>
      <c r="E26" s="34">
        <f>SUM(E23:E25)</f>
        <v>16050</v>
      </c>
      <c r="F26" s="34"/>
      <c r="G26" s="34">
        <f>+G25+G24+G23</f>
        <v>0</v>
      </c>
      <c r="H26" s="34"/>
      <c r="I26" s="34">
        <f>SUM(I23:I25)</f>
        <v>0</v>
      </c>
      <c r="J26" s="34">
        <f>SUM(J23:J25)</f>
        <v>0</v>
      </c>
      <c r="K26" s="34">
        <f t="shared" ref="K26:U26" si="10">SUM(K23:K25)</f>
        <v>16050</v>
      </c>
      <c r="L26" s="34">
        <f t="shared" si="10"/>
        <v>0</v>
      </c>
      <c r="M26" s="34">
        <f t="shared" si="10"/>
        <v>1629.8700000000001</v>
      </c>
      <c r="N26" s="34">
        <f t="shared" si="10"/>
        <v>1764.6000000000001</v>
      </c>
      <c r="O26" s="34">
        <f t="shared" si="10"/>
        <v>0</v>
      </c>
      <c r="P26" s="34">
        <f t="shared" si="10"/>
        <v>1845.75</v>
      </c>
      <c r="Q26" s="34">
        <f t="shared" si="10"/>
        <v>3610.3500000000004</v>
      </c>
      <c r="R26" s="34">
        <f t="shared" si="10"/>
        <v>12439.650000000001</v>
      </c>
      <c r="S26" s="34">
        <f t="shared" si="10"/>
        <v>770.04</v>
      </c>
      <c r="T26" s="34">
        <f t="shared" si="10"/>
        <v>3210</v>
      </c>
      <c r="U26" s="34">
        <f t="shared" si="10"/>
        <v>3980.04</v>
      </c>
    </row>
    <row r="27" spans="2:21" hidden="1" x14ac:dyDescent="0.25"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2:21" x14ac:dyDescent="0.25">
      <c r="B28" s="2" t="s">
        <v>63</v>
      </c>
      <c r="C28" s="2" t="s">
        <v>51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2:21" x14ac:dyDescent="0.25">
      <c r="B29" t="s">
        <v>122</v>
      </c>
      <c r="C29" t="s">
        <v>97</v>
      </c>
      <c r="D29" t="s">
        <v>80</v>
      </c>
      <c r="E29" s="15">
        <v>5350</v>
      </c>
      <c r="F29" s="29">
        <v>15</v>
      </c>
      <c r="G29" s="15"/>
      <c r="H29" s="15"/>
      <c r="I29" s="15"/>
      <c r="J29" s="15"/>
      <c r="K29" s="15">
        <f t="shared" ref="K29:K39" si="11">E29-I29</f>
        <v>5350</v>
      </c>
      <c r="L29" s="15">
        <v>0</v>
      </c>
      <c r="M29" s="15">
        <v>588.20000000000005</v>
      </c>
      <c r="N29" s="15">
        <f>M29-L29</f>
        <v>588.20000000000005</v>
      </c>
      <c r="O29" s="15">
        <v>0</v>
      </c>
      <c r="P29" s="15">
        <f>E29*0.115</f>
        <v>615.25</v>
      </c>
      <c r="Q29" s="15">
        <f t="shared" ref="Q29:Q39" si="12">SUM(N29:P29)+G29</f>
        <v>1203.45</v>
      </c>
      <c r="R29" s="67">
        <f t="shared" ref="R29:R39" si="13">K29-Q29</f>
        <v>4146.55</v>
      </c>
      <c r="S29" s="11">
        <v>256.68</v>
      </c>
      <c r="T29" s="11">
        <v>1070</v>
      </c>
      <c r="U29" s="35">
        <f t="shared" ref="U29:U39" si="14">S29+T29</f>
        <v>1326.68</v>
      </c>
    </row>
    <row r="30" spans="2:21" x14ac:dyDescent="0.25">
      <c r="B30" t="s">
        <v>123</v>
      </c>
      <c r="C30" t="s">
        <v>100</v>
      </c>
      <c r="D30" t="s">
        <v>80</v>
      </c>
      <c r="E30" s="15">
        <v>5350</v>
      </c>
      <c r="F30" s="29">
        <v>15</v>
      </c>
      <c r="G30" s="15"/>
      <c r="H30" s="15"/>
      <c r="I30" s="11"/>
      <c r="J30" s="20"/>
      <c r="K30" s="20">
        <f t="shared" si="11"/>
        <v>5350</v>
      </c>
      <c r="L30" s="20">
        <v>0</v>
      </c>
      <c r="M30" s="20">
        <v>587.48</v>
      </c>
      <c r="N30" s="20">
        <v>588.20000000000005</v>
      </c>
      <c r="O30" s="15">
        <v>0</v>
      </c>
      <c r="P30" s="15">
        <f t="shared" ref="P30:P39" si="15">E30*0.115</f>
        <v>615.25</v>
      </c>
      <c r="Q30" s="15">
        <f t="shared" si="12"/>
        <v>1203.45</v>
      </c>
      <c r="R30" s="67">
        <f t="shared" si="13"/>
        <v>4146.55</v>
      </c>
      <c r="S30" s="11">
        <v>256.68</v>
      </c>
      <c r="T30" s="11">
        <v>1070</v>
      </c>
      <c r="U30" s="35">
        <f t="shared" si="14"/>
        <v>1326.68</v>
      </c>
    </row>
    <row r="31" spans="2:21" x14ac:dyDescent="0.25">
      <c r="B31" t="s">
        <v>124</v>
      </c>
      <c r="C31" t="s">
        <v>96</v>
      </c>
      <c r="D31" t="s">
        <v>78</v>
      </c>
      <c r="E31" s="15">
        <v>5350</v>
      </c>
      <c r="F31" s="29">
        <v>15</v>
      </c>
      <c r="G31" s="15"/>
      <c r="H31" s="15"/>
      <c r="I31" s="20"/>
      <c r="J31" s="20"/>
      <c r="K31" s="20">
        <f t="shared" si="11"/>
        <v>5350</v>
      </c>
      <c r="L31" s="20">
        <v>0</v>
      </c>
      <c r="M31" s="20">
        <v>588.20000000000005</v>
      </c>
      <c r="N31" s="20">
        <f t="shared" ref="N31:N39" si="16">M31-L31</f>
        <v>588.20000000000005</v>
      </c>
      <c r="O31" s="15">
        <v>0</v>
      </c>
      <c r="P31" s="15">
        <f t="shared" si="15"/>
        <v>615.25</v>
      </c>
      <c r="Q31" s="15">
        <f t="shared" si="12"/>
        <v>1203.45</v>
      </c>
      <c r="R31" s="67">
        <f t="shared" si="13"/>
        <v>4146.55</v>
      </c>
      <c r="S31" s="11">
        <v>256.68</v>
      </c>
      <c r="T31" s="11">
        <v>1070</v>
      </c>
      <c r="U31" s="35">
        <f t="shared" si="14"/>
        <v>1326.68</v>
      </c>
    </row>
    <row r="32" spans="2:21" x14ac:dyDescent="0.25">
      <c r="B32" t="s">
        <v>125</v>
      </c>
      <c r="C32" t="s">
        <v>104</v>
      </c>
      <c r="D32" t="s">
        <v>78</v>
      </c>
      <c r="E32" s="15">
        <v>5350</v>
      </c>
      <c r="F32" s="29">
        <v>15</v>
      </c>
      <c r="G32" s="15"/>
      <c r="H32" s="15"/>
      <c r="I32" s="20"/>
      <c r="J32" s="20"/>
      <c r="K32" s="20">
        <f t="shared" si="11"/>
        <v>5350</v>
      </c>
      <c r="L32" s="20">
        <v>0</v>
      </c>
      <c r="M32" s="20">
        <v>588.20000000000005</v>
      </c>
      <c r="N32" s="20">
        <f t="shared" si="16"/>
        <v>588.20000000000005</v>
      </c>
      <c r="O32" s="15">
        <v>0</v>
      </c>
      <c r="P32" s="15">
        <f t="shared" si="15"/>
        <v>615.25</v>
      </c>
      <c r="Q32" s="15">
        <f t="shared" si="12"/>
        <v>1203.45</v>
      </c>
      <c r="R32" s="67">
        <f t="shared" si="13"/>
        <v>4146.55</v>
      </c>
      <c r="S32" s="11">
        <v>256.68</v>
      </c>
      <c r="T32" s="11">
        <v>1070</v>
      </c>
      <c r="U32" s="35">
        <f t="shared" si="14"/>
        <v>1326.68</v>
      </c>
    </row>
    <row r="33" spans="2:21" x14ac:dyDescent="0.25">
      <c r="B33" t="s">
        <v>126</v>
      </c>
      <c r="C33" t="s">
        <v>94</v>
      </c>
      <c r="D33" t="s">
        <v>81</v>
      </c>
      <c r="E33" s="15">
        <v>5350</v>
      </c>
      <c r="F33" s="29">
        <v>15</v>
      </c>
      <c r="G33" s="15">
        <v>595</v>
      </c>
      <c r="H33" s="15"/>
      <c r="I33" s="20"/>
      <c r="J33" s="20"/>
      <c r="K33" s="20">
        <f t="shared" si="11"/>
        <v>5350</v>
      </c>
      <c r="L33" s="20">
        <v>0</v>
      </c>
      <c r="M33" s="20">
        <v>517.23</v>
      </c>
      <c r="N33" s="20">
        <v>588.02</v>
      </c>
      <c r="O33" s="15">
        <v>0</v>
      </c>
      <c r="P33" s="15">
        <f t="shared" si="15"/>
        <v>615.25</v>
      </c>
      <c r="Q33" s="15">
        <f t="shared" si="12"/>
        <v>1798.27</v>
      </c>
      <c r="R33" s="67">
        <f t="shared" si="13"/>
        <v>3551.73</v>
      </c>
      <c r="S33" s="11">
        <v>256.68</v>
      </c>
      <c r="T33" s="11">
        <v>1070</v>
      </c>
      <c r="U33" s="35">
        <f t="shared" si="14"/>
        <v>1326.68</v>
      </c>
    </row>
    <row r="34" spans="2:21" x14ac:dyDescent="0.25">
      <c r="B34" t="s">
        <v>127</v>
      </c>
      <c r="C34" t="s">
        <v>98</v>
      </c>
      <c r="D34" t="s">
        <v>81</v>
      </c>
      <c r="E34" s="15">
        <v>5350</v>
      </c>
      <c r="F34" s="29">
        <v>15</v>
      </c>
      <c r="G34" s="15"/>
      <c r="H34" s="18">
        <v>25.47</v>
      </c>
      <c r="I34" s="20"/>
      <c r="J34" s="20"/>
      <c r="K34" s="20">
        <f>E34+H34</f>
        <v>5375.47</v>
      </c>
      <c r="L34" s="20">
        <v>0</v>
      </c>
      <c r="M34" s="20">
        <v>588.20000000000005</v>
      </c>
      <c r="N34" s="20">
        <f t="shared" si="16"/>
        <v>588.20000000000005</v>
      </c>
      <c r="O34" s="15">
        <v>0</v>
      </c>
      <c r="P34" s="15">
        <f>E34*0.115</f>
        <v>615.25</v>
      </c>
      <c r="Q34" s="15">
        <f t="shared" si="12"/>
        <v>1203.45</v>
      </c>
      <c r="R34" s="67">
        <f t="shared" si="13"/>
        <v>4172.0200000000004</v>
      </c>
      <c r="S34" s="11">
        <v>256.68</v>
      </c>
      <c r="T34" s="11">
        <v>1070</v>
      </c>
      <c r="U34" s="35">
        <f t="shared" si="14"/>
        <v>1326.68</v>
      </c>
    </row>
    <row r="35" spans="2:21" x14ac:dyDescent="0.25">
      <c r="B35" t="s">
        <v>128</v>
      </c>
      <c r="C35" t="s">
        <v>101</v>
      </c>
      <c r="D35" t="s">
        <v>81</v>
      </c>
      <c r="E35" s="15">
        <v>5350</v>
      </c>
      <c r="F35" s="29">
        <v>15</v>
      </c>
      <c r="G35" s="15"/>
      <c r="H35" s="15"/>
      <c r="I35" s="64">
        <v>22.93</v>
      </c>
      <c r="J35" s="20"/>
      <c r="K35" s="20">
        <f>E35-I35</f>
        <v>5327.07</v>
      </c>
      <c r="L35" s="20">
        <v>0</v>
      </c>
      <c r="M35" s="15">
        <v>588.20000000000005</v>
      </c>
      <c r="N35" s="15">
        <f>M35-L35</f>
        <v>588.20000000000005</v>
      </c>
      <c r="O35" s="15">
        <v>0</v>
      </c>
      <c r="P35" s="15">
        <f t="shared" si="15"/>
        <v>615.25</v>
      </c>
      <c r="Q35" s="15">
        <f>SUM(N35:P35)+G35</f>
        <v>1203.45</v>
      </c>
      <c r="R35" s="67">
        <f>K35-Q35</f>
        <v>4123.62</v>
      </c>
      <c r="S35" s="11">
        <v>256.68</v>
      </c>
      <c r="T35" s="11">
        <v>1070</v>
      </c>
      <c r="U35" s="35">
        <f t="shared" si="14"/>
        <v>1326.68</v>
      </c>
    </row>
    <row r="36" spans="2:21" x14ac:dyDescent="0.25">
      <c r="B36" t="s">
        <v>129</v>
      </c>
      <c r="C36" t="s">
        <v>95</v>
      </c>
      <c r="D36" t="s">
        <v>82</v>
      </c>
      <c r="E36" s="15">
        <v>5350</v>
      </c>
      <c r="F36" s="29">
        <v>15</v>
      </c>
      <c r="G36" s="15">
        <v>1190</v>
      </c>
      <c r="H36" s="15"/>
      <c r="I36" s="15"/>
      <c r="J36" s="15"/>
      <c r="K36" s="15">
        <f t="shared" si="11"/>
        <v>5350</v>
      </c>
      <c r="L36" s="15">
        <v>0</v>
      </c>
      <c r="M36" s="15">
        <v>588.20000000000005</v>
      </c>
      <c r="N36" s="15">
        <f t="shared" si="16"/>
        <v>588.20000000000005</v>
      </c>
      <c r="O36" s="15">
        <v>0</v>
      </c>
      <c r="P36" s="15">
        <f t="shared" si="15"/>
        <v>615.25</v>
      </c>
      <c r="Q36" s="15">
        <f t="shared" si="12"/>
        <v>2393.4499999999998</v>
      </c>
      <c r="R36" s="67">
        <f t="shared" si="13"/>
        <v>2956.55</v>
      </c>
      <c r="S36" s="11">
        <v>256.68</v>
      </c>
      <c r="T36" s="11">
        <v>1070</v>
      </c>
      <c r="U36" s="35">
        <f t="shared" si="14"/>
        <v>1326.68</v>
      </c>
    </row>
    <row r="37" spans="2:21" x14ac:dyDescent="0.25">
      <c r="B37" t="s">
        <v>130</v>
      </c>
      <c r="C37" t="s">
        <v>102</v>
      </c>
      <c r="D37" t="s">
        <v>82</v>
      </c>
      <c r="E37" s="15">
        <v>5350</v>
      </c>
      <c r="F37" s="29">
        <v>15</v>
      </c>
      <c r="G37" s="15"/>
      <c r="H37" s="15"/>
      <c r="I37" s="15"/>
      <c r="J37" s="15"/>
      <c r="K37" s="15">
        <f t="shared" si="11"/>
        <v>5350</v>
      </c>
      <c r="L37" s="15">
        <v>0</v>
      </c>
      <c r="M37" s="15">
        <v>586.03</v>
      </c>
      <c r="N37" s="15">
        <v>588.20000000000005</v>
      </c>
      <c r="O37" s="15">
        <v>0</v>
      </c>
      <c r="P37" s="15">
        <f t="shared" si="15"/>
        <v>615.25</v>
      </c>
      <c r="Q37" s="15">
        <f>SUM(N37:P37)+G37</f>
        <v>1203.45</v>
      </c>
      <c r="R37" s="67">
        <f t="shared" si="13"/>
        <v>4146.55</v>
      </c>
      <c r="S37" s="11">
        <v>256.68</v>
      </c>
      <c r="T37" s="11">
        <v>1070</v>
      </c>
      <c r="U37" s="35">
        <f t="shared" si="14"/>
        <v>1326.68</v>
      </c>
    </row>
    <row r="38" spans="2:21" x14ac:dyDescent="0.25">
      <c r="B38" t="s">
        <v>131</v>
      </c>
      <c r="C38" t="s">
        <v>85</v>
      </c>
      <c r="D38" t="s">
        <v>83</v>
      </c>
      <c r="E38" s="15">
        <v>5350</v>
      </c>
      <c r="F38" s="29">
        <v>15</v>
      </c>
      <c r="G38" s="15">
        <v>1784</v>
      </c>
      <c r="H38" s="15"/>
      <c r="I38" s="15"/>
      <c r="J38" s="15"/>
      <c r="K38" s="15">
        <f t="shared" si="11"/>
        <v>5350</v>
      </c>
      <c r="L38" s="15">
        <v>0</v>
      </c>
      <c r="M38" s="15">
        <v>588.20000000000005</v>
      </c>
      <c r="N38" s="15">
        <f t="shared" si="16"/>
        <v>588.20000000000005</v>
      </c>
      <c r="O38" s="15">
        <v>0</v>
      </c>
      <c r="P38" s="15">
        <f t="shared" si="15"/>
        <v>615.25</v>
      </c>
      <c r="Q38" s="15">
        <f t="shared" si="12"/>
        <v>2987.45</v>
      </c>
      <c r="R38" s="67">
        <f t="shared" si="13"/>
        <v>2362.5500000000002</v>
      </c>
      <c r="S38" s="11">
        <v>256.68</v>
      </c>
      <c r="T38" s="11">
        <v>1070</v>
      </c>
      <c r="U38" s="35">
        <f t="shared" si="14"/>
        <v>1326.68</v>
      </c>
    </row>
    <row r="39" spans="2:21" x14ac:dyDescent="0.25">
      <c r="B39" t="s">
        <v>132</v>
      </c>
      <c r="C39" t="s">
        <v>103</v>
      </c>
      <c r="D39" t="s">
        <v>83</v>
      </c>
      <c r="E39" s="15">
        <v>5350</v>
      </c>
      <c r="F39" s="29">
        <v>15</v>
      </c>
      <c r="G39" s="15"/>
      <c r="H39" s="15"/>
      <c r="I39" s="15"/>
      <c r="J39" s="15"/>
      <c r="K39" s="15">
        <f t="shared" si="11"/>
        <v>5350</v>
      </c>
      <c r="L39" s="15">
        <v>0</v>
      </c>
      <c r="M39" s="15">
        <v>588.20000000000005</v>
      </c>
      <c r="N39" s="15">
        <f t="shared" si="16"/>
        <v>588.20000000000005</v>
      </c>
      <c r="O39" s="15">
        <v>0</v>
      </c>
      <c r="P39" s="15">
        <f t="shared" si="15"/>
        <v>615.25</v>
      </c>
      <c r="Q39" s="15">
        <f t="shared" si="12"/>
        <v>1203.45</v>
      </c>
      <c r="R39" s="67">
        <f t="shared" si="13"/>
        <v>4146.55</v>
      </c>
      <c r="S39" s="11">
        <v>256.68</v>
      </c>
      <c r="T39" s="11">
        <v>1070</v>
      </c>
      <c r="U39" s="35">
        <f t="shared" si="14"/>
        <v>1326.68</v>
      </c>
    </row>
    <row r="40" spans="2:21" x14ac:dyDescent="0.25">
      <c r="B40" s="2" t="s">
        <v>26</v>
      </c>
      <c r="C40" s="30"/>
      <c r="D40" s="30"/>
      <c r="E40" s="34">
        <f>SUM(E29:E39)</f>
        <v>58850</v>
      </c>
      <c r="F40" s="34"/>
      <c r="G40" s="34">
        <f>+G39+G38+G37+G36+G35+G34+G33</f>
        <v>3569</v>
      </c>
      <c r="H40" s="34"/>
      <c r="I40" s="34">
        <f>SUM(I29:I39)</f>
        <v>22.93</v>
      </c>
      <c r="J40" s="34">
        <f>SUM(J29:J39)</f>
        <v>0</v>
      </c>
      <c r="K40" s="34">
        <f>SUM(K29:K39)</f>
        <v>58852.54</v>
      </c>
      <c r="L40" s="34">
        <f t="shared" ref="L40:U40" si="17">SUM(L29:L39)</f>
        <v>0</v>
      </c>
      <c r="M40" s="34">
        <f t="shared" si="17"/>
        <v>6396.3399999999992</v>
      </c>
      <c r="N40" s="34">
        <f t="shared" si="17"/>
        <v>6470.0199999999995</v>
      </c>
      <c r="O40" s="34">
        <f t="shared" si="17"/>
        <v>0</v>
      </c>
      <c r="P40" s="34">
        <f t="shared" si="17"/>
        <v>6767.75</v>
      </c>
      <c r="Q40" s="34">
        <f t="shared" si="17"/>
        <v>16806.77</v>
      </c>
      <c r="R40" s="34">
        <f t="shared" si="17"/>
        <v>42045.770000000004</v>
      </c>
      <c r="S40" s="34">
        <f t="shared" si="17"/>
        <v>2823.4799999999996</v>
      </c>
      <c r="T40" s="34">
        <f t="shared" si="17"/>
        <v>11770</v>
      </c>
      <c r="U40" s="34">
        <f t="shared" si="17"/>
        <v>14593.480000000001</v>
      </c>
    </row>
    <row r="41" spans="2:21" hidden="1" x14ac:dyDescent="0.25"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2:21" x14ac:dyDescent="0.25">
      <c r="B42" s="2" t="s">
        <v>140</v>
      </c>
      <c r="C42" s="2" t="s">
        <v>64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2:21" x14ac:dyDescent="0.25">
      <c r="B43" t="s">
        <v>133</v>
      </c>
      <c r="C43" t="s">
        <v>99</v>
      </c>
      <c r="D43" t="s">
        <v>80</v>
      </c>
      <c r="E43" s="15">
        <v>5350</v>
      </c>
      <c r="F43" s="29">
        <v>15</v>
      </c>
      <c r="G43" s="15"/>
      <c r="H43" s="15"/>
      <c r="I43" s="64">
        <v>6.8</v>
      </c>
      <c r="J43" s="20"/>
      <c r="K43" s="20">
        <f>E43-I43</f>
        <v>5343.2</v>
      </c>
      <c r="L43" s="20">
        <v>0</v>
      </c>
      <c r="M43" s="20">
        <v>586.21</v>
      </c>
      <c r="N43" s="20">
        <v>588.20000000000005</v>
      </c>
      <c r="O43" s="15">
        <v>0</v>
      </c>
      <c r="P43" s="15">
        <f t="shared" ref="P43" si="18">E43*0.115</f>
        <v>615.25</v>
      </c>
      <c r="Q43" s="15">
        <f>SUM(N43:P43)+G43</f>
        <v>1203.45</v>
      </c>
      <c r="R43" s="67">
        <f>K43-Q43</f>
        <v>4139.75</v>
      </c>
      <c r="S43" s="11">
        <v>256.68</v>
      </c>
      <c r="T43" s="11">
        <v>1070</v>
      </c>
      <c r="U43" s="35">
        <f t="shared" ref="U43:U44" si="19">S43+T43</f>
        <v>1326.68</v>
      </c>
    </row>
    <row r="44" spans="2:21" x14ac:dyDescent="0.25">
      <c r="B44" t="s">
        <v>152</v>
      </c>
      <c r="C44" t="s">
        <v>92</v>
      </c>
      <c r="D44" t="s">
        <v>80</v>
      </c>
      <c r="E44" s="15">
        <v>5350</v>
      </c>
      <c r="F44" s="29">
        <v>15</v>
      </c>
      <c r="G44" s="15"/>
      <c r="H44" s="15"/>
      <c r="I44" s="15"/>
      <c r="J44" s="15"/>
      <c r="K44" s="15">
        <f>E44-I44</f>
        <v>5350</v>
      </c>
      <c r="L44" s="15">
        <v>0</v>
      </c>
      <c r="M44" s="15">
        <v>588.20000000000005</v>
      </c>
      <c r="N44" s="15">
        <v>588.20000000000005</v>
      </c>
      <c r="O44" s="15">
        <v>0</v>
      </c>
      <c r="P44" s="15">
        <f>K44*0.115</f>
        <v>615.25</v>
      </c>
      <c r="Q44" s="15">
        <f>SUM(N44:P44)+G44</f>
        <v>1203.45</v>
      </c>
      <c r="R44" s="67">
        <f>K44-Q44</f>
        <v>4146.55</v>
      </c>
      <c r="S44" s="11">
        <v>256.68</v>
      </c>
      <c r="T44" s="11">
        <v>1070</v>
      </c>
      <c r="U44" s="35">
        <f t="shared" si="19"/>
        <v>1326.68</v>
      </c>
    </row>
    <row r="45" spans="2:21" x14ac:dyDescent="0.25">
      <c r="B45" s="2" t="s">
        <v>26</v>
      </c>
      <c r="C45" s="30"/>
      <c r="D45" s="30"/>
      <c r="E45" s="34">
        <f>E43+E44</f>
        <v>10700</v>
      </c>
      <c r="F45" s="34"/>
      <c r="G45" s="34">
        <f>+G44+G43</f>
        <v>0</v>
      </c>
      <c r="H45" s="34"/>
      <c r="I45" s="34">
        <f>I43+I44</f>
        <v>6.8</v>
      </c>
      <c r="J45" s="34">
        <f>J43+J44</f>
        <v>0</v>
      </c>
      <c r="K45" s="34">
        <f t="shared" ref="K45:U45" si="20">K43+K44</f>
        <v>10693.2</v>
      </c>
      <c r="L45" s="34">
        <f t="shared" si="20"/>
        <v>0</v>
      </c>
      <c r="M45" s="34">
        <f t="shared" si="20"/>
        <v>1174.4100000000001</v>
      </c>
      <c r="N45" s="34">
        <f t="shared" si="20"/>
        <v>1176.4000000000001</v>
      </c>
      <c r="O45" s="34">
        <f t="shared" si="20"/>
        <v>0</v>
      </c>
      <c r="P45" s="34">
        <f t="shared" si="20"/>
        <v>1230.5</v>
      </c>
      <c r="Q45" s="34">
        <f t="shared" si="20"/>
        <v>2406.9</v>
      </c>
      <c r="R45" s="34">
        <f t="shared" si="20"/>
        <v>8286.2999999999993</v>
      </c>
      <c r="S45" s="34">
        <f t="shared" si="20"/>
        <v>513.36</v>
      </c>
      <c r="T45" s="34">
        <f t="shared" si="20"/>
        <v>2140</v>
      </c>
      <c r="U45" s="34">
        <f t="shared" si="20"/>
        <v>2653.36</v>
      </c>
    </row>
    <row r="46" spans="2:21" hidden="1" x14ac:dyDescent="0.25">
      <c r="B46" s="2"/>
      <c r="E46" s="15"/>
      <c r="F46" s="15"/>
      <c r="G46" s="15"/>
      <c r="H46" s="15"/>
      <c r="I46" s="15"/>
      <c r="J46" s="15"/>
      <c r="K46" s="16"/>
      <c r="L46" s="16"/>
      <c r="M46" s="16"/>
      <c r="N46" s="16"/>
      <c r="O46" s="16"/>
      <c r="P46" s="16"/>
      <c r="Q46" s="16"/>
      <c r="R46" s="16"/>
      <c r="S46" s="8"/>
      <c r="T46" s="8"/>
      <c r="U46" s="8"/>
    </row>
    <row r="47" spans="2:21" x14ac:dyDescent="0.25">
      <c r="B47" s="2" t="s">
        <v>161</v>
      </c>
      <c r="C47" s="2" t="s">
        <v>162</v>
      </c>
      <c r="E47" s="15"/>
      <c r="F47" s="15"/>
      <c r="G47" s="15"/>
      <c r="H47" s="15"/>
      <c r="I47" s="15"/>
      <c r="J47" s="15"/>
      <c r="K47" s="16"/>
      <c r="L47" s="16"/>
      <c r="M47" s="16"/>
      <c r="N47" s="16"/>
      <c r="O47" s="16"/>
      <c r="P47" s="16"/>
      <c r="Q47" s="16"/>
      <c r="R47" s="16"/>
      <c r="S47" s="8"/>
      <c r="T47" s="8"/>
      <c r="U47" s="8"/>
    </row>
    <row r="48" spans="2:21" x14ac:dyDescent="0.25">
      <c r="B48" t="s">
        <v>163</v>
      </c>
      <c r="C48" s="11" t="s">
        <v>42</v>
      </c>
      <c r="D48" t="s">
        <v>2</v>
      </c>
      <c r="E48" s="15">
        <v>10000</v>
      </c>
      <c r="F48" s="29">
        <v>15</v>
      </c>
      <c r="G48" s="15"/>
      <c r="H48" s="15"/>
      <c r="I48" s="15"/>
      <c r="J48" s="15"/>
      <c r="K48" s="15">
        <f>E48-I48</f>
        <v>10000</v>
      </c>
      <c r="L48" s="15">
        <v>0</v>
      </c>
      <c r="M48" s="15">
        <v>1581.44</v>
      </c>
      <c r="N48" s="15">
        <f>M48-L48</f>
        <v>1581.44</v>
      </c>
      <c r="O48" s="15">
        <v>0</v>
      </c>
      <c r="P48" s="15">
        <f>E48*0.115</f>
        <v>1150</v>
      </c>
      <c r="Q48" s="15">
        <f>SUM(N48:P48)+G48</f>
        <v>2731.44</v>
      </c>
      <c r="R48" s="67">
        <f>K48-Q48</f>
        <v>7268.5599999999995</v>
      </c>
      <c r="S48" s="11">
        <v>285.52999999999997</v>
      </c>
      <c r="T48" s="11">
        <v>2000</v>
      </c>
      <c r="U48" s="35">
        <f>S48+T48</f>
        <v>2285.5299999999997</v>
      </c>
    </row>
    <row r="49" spans="2:21" x14ac:dyDescent="0.25">
      <c r="B49" s="2" t="s">
        <v>26</v>
      </c>
      <c r="E49" s="34">
        <f>E48</f>
        <v>10000</v>
      </c>
      <c r="F49" s="34"/>
      <c r="G49" s="34">
        <f>+G48</f>
        <v>0</v>
      </c>
      <c r="H49" s="34"/>
      <c r="I49" s="34">
        <f>I48</f>
        <v>0</v>
      </c>
      <c r="J49" s="34">
        <f>J48</f>
        <v>0</v>
      </c>
      <c r="K49" s="34">
        <f t="shared" ref="K49:U49" si="21">K48</f>
        <v>10000</v>
      </c>
      <c r="L49" s="34">
        <f t="shared" si="21"/>
        <v>0</v>
      </c>
      <c r="M49" s="34">
        <f t="shared" si="21"/>
        <v>1581.44</v>
      </c>
      <c r="N49" s="34">
        <f t="shared" si="21"/>
        <v>1581.44</v>
      </c>
      <c r="O49" s="34">
        <f t="shared" si="21"/>
        <v>0</v>
      </c>
      <c r="P49" s="34">
        <f t="shared" si="21"/>
        <v>1150</v>
      </c>
      <c r="Q49" s="34">
        <f t="shared" si="21"/>
        <v>2731.44</v>
      </c>
      <c r="R49" s="34">
        <f t="shared" si="21"/>
        <v>7268.5599999999995</v>
      </c>
      <c r="S49" s="34">
        <f t="shared" si="21"/>
        <v>285.52999999999997</v>
      </c>
      <c r="T49" s="34">
        <f t="shared" si="21"/>
        <v>2000</v>
      </c>
      <c r="U49" s="34">
        <f t="shared" si="21"/>
        <v>2285.5299999999997</v>
      </c>
    </row>
    <row r="50" spans="2:21" ht="12" customHeight="1" x14ac:dyDescent="0.25">
      <c r="B50" s="2"/>
      <c r="E50" s="15"/>
      <c r="F50" s="15"/>
      <c r="G50" s="15"/>
      <c r="H50" s="15"/>
      <c r="I50" s="15"/>
      <c r="J50" s="15"/>
      <c r="K50" s="16"/>
      <c r="L50" s="16"/>
      <c r="M50" s="16"/>
      <c r="N50" s="16"/>
      <c r="O50" s="16"/>
      <c r="P50" s="16"/>
      <c r="Q50" s="16"/>
      <c r="R50" s="16"/>
      <c r="S50" s="8"/>
      <c r="T50" s="8"/>
      <c r="U50" s="8"/>
    </row>
    <row r="51" spans="2:21" hidden="1" x14ac:dyDescent="0.25"/>
    <row r="52" spans="2:21" ht="18.75" x14ac:dyDescent="0.3">
      <c r="C52" s="53" t="s">
        <v>105</v>
      </c>
      <c r="E52" s="17">
        <f>E9+E20+E26+E40+E45+E49</f>
        <v>158954.95000000001</v>
      </c>
      <c r="F52" s="17"/>
      <c r="G52" s="17">
        <f>G9+G20+G26+G40+G45+G49</f>
        <v>9917</v>
      </c>
      <c r="H52" s="17"/>
      <c r="I52" s="17">
        <f t="shared" ref="I52:U52" si="22">I9+I20+I26+I40+I45+I49</f>
        <v>29.73</v>
      </c>
      <c r="J52" s="17">
        <f t="shared" si="22"/>
        <v>0</v>
      </c>
      <c r="K52" s="17">
        <f t="shared" si="22"/>
        <v>159565.94</v>
      </c>
      <c r="L52" s="17">
        <f t="shared" si="22"/>
        <v>274.08999999999997</v>
      </c>
      <c r="M52" s="17">
        <f t="shared" si="22"/>
        <v>19286.219999999998</v>
      </c>
      <c r="N52" s="17">
        <f t="shared" si="22"/>
        <v>19225.43</v>
      </c>
      <c r="O52" s="17">
        <f t="shared" si="22"/>
        <v>0</v>
      </c>
      <c r="P52" s="17">
        <f t="shared" si="22"/>
        <v>17664.56925</v>
      </c>
      <c r="Q52" s="17">
        <f t="shared" si="22"/>
        <v>46806.999250000001</v>
      </c>
      <c r="R52" s="54">
        <f t="shared" si="22"/>
        <v>112758.94074999999</v>
      </c>
      <c r="S52" s="17">
        <f t="shared" si="22"/>
        <v>7020.3799999999992</v>
      </c>
      <c r="T52" s="17">
        <f t="shared" si="22"/>
        <v>30720.989999999998</v>
      </c>
      <c r="U52" s="55">
        <f t="shared" si="22"/>
        <v>37741.370000000003</v>
      </c>
    </row>
    <row r="55" spans="2:21" ht="15.75" thickBot="1" x14ac:dyDescent="0.3">
      <c r="E55" s="375"/>
      <c r="F55" s="375"/>
      <c r="G55" s="59"/>
      <c r="H55" s="62"/>
      <c r="P55" s="376"/>
      <c r="Q55" s="376"/>
    </row>
    <row r="56" spans="2:21" x14ac:dyDescent="0.25">
      <c r="E56" s="377" t="s">
        <v>177</v>
      </c>
      <c r="F56" s="377"/>
      <c r="G56" s="60"/>
      <c r="H56" s="63"/>
      <c r="P56" s="26"/>
      <c r="Q56" s="26"/>
      <c r="R56" s="378" t="s">
        <v>157</v>
      </c>
      <c r="S56" s="378"/>
    </row>
    <row r="60" spans="2:21" x14ac:dyDescent="0.25">
      <c r="C60" t="s">
        <v>174</v>
      </c>
    </row>
  </sheetData>
  <mergeCells count="5">
    <mergeCell ref="B4:U4"/>
    <mergeCell ref="E55:F55"/>
    <mergeCell ref="P55:Q55"/>
    <mergeCell ref="E56:F56"/>
    <mergeCell ref="R56:S56"/>
  </mergeCells>
  <pageMargins left="0.51181102362204722" right="0.51181102362204722" top="0.15748031496062992" bottom="0.35433070866141736" header="0.31496062992125984" footer="0.31496062992125984"/>
  <pageSetup scale="42" fitToHeight="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U60"/>
  <sheetViews>
    <sheetView topLeftCell="B17" zoomScale="85" zoomScaleNormal="85" workbookViewId="0">
      <selection activeCell="R52" sqref="R52"/>
    </sheetView>
  </sheetViews>
  <sheetFormatPr baseColWidth="10" defaultRowHeight="15" x14ac:dyDescent="0.25"/>
  <cols>
    <col min="1" max="1" width="0.7109375" customWidth="1"/>
    <col min="2" max="2" width="17.140625" customWidth="1"/>
    <col min="3" max="3" width="34.140625" customWidth="1"/>
    <col min="4" max="4" width="28" customWidth="1"/>
    <col min="5" max="5" width="18.42578125" customWidth="1"/>
    <col min="6" max="6" width="12.7109375" customWidth="1"/>
    <col min="7" max="7" width="12.28515625" customWidth="1"/>
    <col min="8" max="8" width="14.140625" customWidth="1"/>
    <col min="9" max="9" width="13.85546875" customWidth="1"/>
    <col min="10" max="10" width="0" hidden="1" customWidth="1"/>
    <col min="11" max="11" width="14.42578125" customWidth="1"/>
    <col min="12" max="12" width="9.42578125" customWidth="1"/>
    <col min="13" max="13" width="14.42578125" customWidth="1"/>
    <col min="14" max="14" width="12.7109375" customWidth="1"/>
    <col min="15" max="15" width="11.42578125" hidden="1" customWidth="1"/>
    <col min="16" max="16" width="12.85546875" customWidth="1"/>
    <col min="17" max="17" width="16.5703125" customWidth="1"/>
    <col min="18" max="18" width="18.28515625" customWidth="1"/>
    <col min="19" max="19" width="16.140625" customWidth="1"/>
    <col min="20" max="20" width="14.85546875" customWidth="1"/>
    <col min="21" max="21" width="17" customWidth="1"/>
  </cols>
  <sheetData>
    <row r="3" spans="2:21" x14ac:dyDescent="0.25"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2:21" ht="16.5" customHeight="1" x14ac:dyDescent="0.25">
      <c r="B4" s="372" t="s">
        <v>183</v>
      </c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</row>
    <row r="5" spans="2:21" s="56" customFormat="1" ht="39.75" customHeight="1" thickBot="1" x14ac:dyDescent="0.3">
      <c r="B5" s="42" t="s">
        <v>9</v>
      </c>
      <c r="C5" s="43" t="s">
        <v>10</v>
      </c>
      <c r="D5" s="43" t="s">
        <v>0</v>
      </c>
      <c r="E5" s="44" t="s">
        <v>11</v>
      </c>
      <c r="F5" s="44" t="s">
        <v>150</v>
      </c>
      <c r="G5" s="61" t="s">
        <v>180</v>
      </c>
      <c r="H5" s="61" t="s">
        <v>182</v>
      </c>
      <c r="I5" s="45" t="s">
        <v>169</v>
      </c>
      <c r="J5" s="44" t="s">
        <v>170</v>
      </c>
      <c r="K5" s="44" t="s">
        <v>12</v>
      </c>
      <c r="L5" s="44" t="s">
        <v>107</v>
      </c>
      <c r="M5" s="44" t="s">
        <v>143</v>
      </c>
      <c r="N5" s="44" t="s">
        <v>13</v>
      </c>
      <c r="O5" s="44" t="s">
        <v>171</v>
      </c>
      <c r="P5" s="44" t="s">
        <v>16</v>
      </c>
      <c r="Q5" s="44" t="s">
        <v>17</v>
      </c>
      <c r="R5" s="44" t="s">
        <v>72</v>
      </c>
      <c r="S5" s="43" t="s">
        <v>8</v>
      </c>
      <c r="T5" s="43" t="s">
        <v>18</v>
      </c>
      <c r="U5" s="46" t="s">
        <v>73</v>
      </c>
    </row>
    <row r="6" spans="2:21" ht="15.75" thickTop="1" x14ac:dyDescent="0.25">
      <c r="B6" s="2" t="s">
        <v>19</v>
      </c>
      <c r="C6" s="2" t="s">
        <v>20</v>
      </c>
      <c r="D6" s="2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2:21" x14ac:dyDescent="0.25">
      <c r="B7" t="s">
        <v>21</v>
      </c>
      <c r="C7" s="11" t="s">
        <v>22</v>
      </c>
      <c r="D7" t="s">
        <v>25</v>
      </c>
      <c r="E7" s="15">
        <v>16954.95</v>
      </c>
      <c r="F7" s="29">
        <v>15</v>
      </c>
      <c r="G7" s="15">
        <v>2700</v>
      </c>
      <c r="H7" s="15"/>
      <c r="I7" s="15"/>
      <c r="J7" s="15"/>
      <c r="K7" s="15">
        <f>E7-I7</f>
        <v>16954.95</v>
      </c>
      <c r="L7" s="15">
        <v>0</v>
      </c>
      <c r="M7" s="15">
        <v>3246.93</v>
      </c>
      <c r="N7" s="15">
        <f>M7-L7</f>
        <v>3246.93</v>
      </c>
      <c r="O7" s="15">
        <v>0</v>
      </c>
      <c r="P7" s="15">
        <f>E7*0.115</f>
        <v>1949.8192500000002</v>
      </c>
      <c r="Q7" s="15">
        <f>SUM(N7:P7)+G7</f>
        <v>7896.7492499999998</v>
      </c>
      <c r="R7" s="70">
        <f>K7-Q7</f>
        <v>9058.20075</v>
      </c>
      <c r="S7" s="11">
        <v>328.67</v>
      </c>
      <c r="T7" s="11">
        <v>3390.99</v>
      </c>
      <c r="U7" s="35">
        <f>SUM(S7:T7)</f>
        <v>3719.66</v>
      </c>
    </row>
    <row r="8" spans="2:21" x14ac:dyDescent="0.25">
      <c r="B8" t="s">
        <v>23</v>
      </c>
      <c r="C8" s="11" t="s">
        <v>24</v>
      </c>
      <c r="D8" t="s">
        <v>3</v>
      </c>
      <c r="E8" s="15">
        <v>4850</v>
      </c>
      <c r="F8" s="29">
        <v>15</v>
      </c>
      <c r="G8" s="15">
        <v>809</v>
      </c>
      <c r="H8" s="15"/>
      <c r="I8" s="15"/>
      <c r="J8" s="15"/>
      <c r="K8" s="15">
        <f>E8-I8</f>
        <v>4850</v>
      </c>
      <c r="L8" s="15">
        <v>0</v>
      </c>
      <c r="M8" s="15">
        <v>491.69</v>
      </c>
      <c r="N8" s="15">
        <f>M8-L8</f>
        <v>491.69</v>
      </c>
      <c r="O8" s="15">
        <v>0</v>
      </c>
      <c r="P8" s="15">
        <f>E8*0.115</f>
        <v>557.75</v>
      </c>
      <c r="Q8" s="15">
        <f>SUM(N8:P8)+G8</f>
        <v>1858.44</v>
      </c>
      <c r="R8" s="70">
        <f>K8-Q8</f>
        <v>2991.56</v>
      </c>
      <c r="S8" s="11">
        <v>253.58</v>
      </c>
      <c r="T8" s="11">
        <v>970</v>
      </c>
      <c r="U8" s="35">
        <f t="shared" ref="U8" si="0">SUM(S8:T8)</f>
        <v>1223.58</v>
      </c>
    </row>
    <row r="9" spans="2:21" x14ac:dyDescent="0.25">
      <c r="B9" s="7" t="s">
        <v>26</v>
      </c>
      <c r="C9" s="30"/>
      <c r="D9" s="30"/>
      <c r="E9" s="34">
        <f>SUM(E7:E8)</f>
        <v>21804.95</v>
      </c>
      <c r="F9" s="34"/>
      <c r="G9" s="34">
        <f>+G8+G7</f>
        <v>3509</v>
      </c>
      <c r="H9" s="34"/>
      <c r="I9" s="34">
        <f t="shared" ref="I9:U9" si="1">SUM(I7:I8)</f>
        <v>0</v>
      </c>
      <c r="J9" s="34">
        <f t="shared" si="1"/>
        <v>0</v>
      </c>
      <c r="K9" s="34">
        <f t="shared" si="1"/>
        <v>21804.95</v>
      </c>
      <c r="L9" s="34">
        <f t="shared" si="1"/>
        <v>0</v>
      </c>
      <c r="M9" s="34">
        <f t="shared" si="1"/>
        <v>3738.62</v>
      </c>
      <c r="N9" s="34">
        <f t="shared" si="1"/>
        <v>3738.62</v>
      </c>
      <c r="O9" s="34">
        <f t="shared" si="1"/>
        <v>0</v>
      </c>
      <c r="P9" s="34">
        <f t="shared" si="1"/>
        <v>2507.5692500000005</v>
      </c>
      <c r="Q9" s="34">
        <f t="shared" si="1"/>
        <v>9755.1892499999994</v>
      </c>
      <c r="R9" s="34">
        <f t="shared" si="1"/>
        <v>12049.760749999999</v>
      </c>
      <c r="S9" s="34">
        <f t="shared" si="1"/>
        <v>582.25</v>
      </c>
      <c r="T9" s="34">
        <f t="shared" si="1"/>
        <v>4360.99</v>
      </c>
      <c r="U9" s="34">
        <f t="shared" si="1"/>
        <v>4943.24</v>
      </c>
    </row>
    <row r="10" spans="2:21" ht="10.5" hidden="1" customHeight="1" x14ac:dyDescent="0.25"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2:21" x14ac:dyDescent="0.25">
      <c r="B11" s="2" t="s">
        <v>27</v>
      </c>
      <c r="C11" s="2" t="s">
        <v>28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2:21" x14ac:dyDescent="0.25">
      <c r="B12" t="s">
        <v>32</v>
      </c>
      <c r="C12" s="11" t="s">
        <v>37</v>
      </c>
      <c r="D12" t="s">
        <v>1</v>
      </c>
      <c r="E12" s="15">
        <v>10000</v>
      </c>
      <c r="F12" s="29">
        <v>15</v>
      </c>
      <c r="G12" s="15"/>
      <c r="H12" s="15"/>
      <c r="I12" s="15"/>
      <c r="J12" s="15"/>
      <c r="K12" s="15">
        <f t="shared" ref="K12:K19" si="2">E12-I12</f>
        <v>10000</v>
      </c>
      <c r="L12" s="15">
        <v>0</v>
      </c>
      <c r="M12" s="15">
        <v>1581.44</v>
      </c>
      <c r="N12" s="15">
        <f>M12-L12</f>
        <v>1581.44</v>
      </c>
      <c r="O12" s="15">
        <v>0</v>
      </c>
      <c r="P12" s="15">
        <f t="shared" ref="P12:P19" si="3">E12*0.115</f>
        <v>1150</v>
      </c>
      <c r="Q12" s="15">
        <f>SUM(N12:P12)+G12</f>
        <v>2731.44</v>
      </c>
      <c r="R12" s="70">
        <f t="shared" ref="R12:R19" si="4">K12-Q12</f>
        <v>7268.5599999999995</v>
      </c>
      <c r="S12" s="11">
        <v>285.52999999999997</v>
      </c>
      <c r="T12" s="11">
        <v>2000</v>
      </c>
      <c r="U12" s="35">
        <f>S12+T12</f>
        <v>2285.5299999999997</v>
      </c>
    </row>
    <row r="13" spans="2:21" x14ac:dyDescent="0.25">
      <c r="B13" t="s">
        <v>33</v>
      </c>
      <c r="C13" s="11" t="s">
        <v>38</v>
      </c>
      <c r="D13" t="s">
        <v>74</v>
      </c>
      <c r="E13" s="15">
        <v>5350</v>
      </c>
      <c r="F13" s="29">
        <v>15</v>
      </c>
      <c r="G13" s="15"/>
      <c r="H13" s="15"/>
      <c r="I13" s="19"/>
      <c r="J13" s="19"/>
      <c r="K13" s="15">
        <f t="shared" si="2"/>
        <v>5350</v>
      </c>
      <c r="L13" s="15">
        <v>0</v>
      </c>
      <c r="M13" s="15">
        <v>586.75</v>
      </c>
      <c r="N13" s="15">
        <v>588.20000000000005</v>
      </c>
      <c r="O13" s="15">
        <v>0</v>
      </c>
      <c r="P13" s="15">
        <f t="shared" si="3"/>
        <v>615.25</v>
      </c>
      <c r="Q13" s="15">
        <f t="shared" ref="Q13:Q19" si="5">SUM(N13:P13)+G13</f>
        <v>1203.45</v>
      </c>
      <c r="R13" s="70">
        <f t="shared" si="4"/>
        <v>4146.55</v>
      </c>
      <c r="S13" s="11">
        <v>256.68</v>
      </c>
      <c r="T13" s="11">
        <v>1070</v>
      </c>
      <c r="U13" s="35">
        <f>S13+T13</f>
        <v>1326.68</v>
      </c>
    </row>
    <row r="14" spans="2:21" x14ac:dyDescent="0.25">
      <c r="B14" t="s">
        <v>34</v>
      </c>
      <c r="C14" s="11" t="s">
        <v>178</v>
      </c>
      <c r="D14" t="s">
        <v>179</v>
      </c>
      <c r="E14" s="15">
        <v>5350</v>
      </c>
      <c r="F14" s="29">
        <v>15</v>
      </c>
      <c r="G14" s="15"/>
      <c r="H14" s="20"/>
      <c r="I14" s="19"/>
      <c r="J14" s="19"/>
      <c r="K14" s="15">
        <f>+E14+H14</f>
        <v>5350</v>
      </c>
      <c r="L14" s="15">
        <v>0</v>
      </c>
      <c r="M14" s="15">
        <v>586.75</v>
      </c>
      <c r="N14" s="15">
        <v>588.20000000000005</v>
      </c>
      <c r="O14" s="15">
        <v>0</v>
      </c>
      <c r="P14" s="15"/>
      <c r="Q14" s="15">
        <f>SUM(N14:P14)+G14</f>
        <v>588.20000000000005</v>
      </c>
      <c r="R14" s="70">
        <f>K14-Q14</f>
        <v>4761.8</v>
      </c>
      <c r="S14" s="11">
        <v>256.68</v>
      </c>
      <c r="T14" s="11">
        <v>0</v>
      </c>
      <c r="U14" s="35">
        <f>S14+T14</f>
        <v>256.68</v>
      </c>
    </row>
    <row r="15" spans="2:21" x14ac:dyDescent="0.25">
      <c r="B15" t="s">
        <v>35</v>
      </c>
      <c r="C15" t="s">
        <v>111</v>
      </c>
      <c r="D15" t="s">
        <v>77</v>
      </c>
      <c r="E15" s="15">
        <v>6000</v>
      </c>
      <c r="F15" s="29">
        <v>15</v>
      </c>
      <c r="G15" s="15"/>
      <c r="H15" s="15"/>
      <c r="I15" s="15"/>
      <c r="J15" s="15"/>
      <c r="K15" s="15">
        <f t="shared" si="2"/>
        <v>6000</v>
      </c>
      <c r="L15" s="15">
        <v>0</v>
      </c>
      <c r="M15" s="15">
        <v>727.04</v>
      </c>
      <c r="N15" s="15">
        <f t="shared" ref="N15:N19" si="6">M15-L15</f>
        <v>727.04</v>
      </c>
      <c r="O15" s="15">
        <v>0</v>
      </c>
      <c r="P15" s="15">
        <f t="shared" si="3"/>
        <v>690</v>
      </c>
      <c r="Q15" s="15">
        <f t="shared" si="5"/>
        <v>1417.04</v>
      </c>
      <c r="R15" s="70">
        <f t="shared" si="4"/>
        <v>4582.96</v>
      </c>
      <c r="S15" s="11">
        <v>260.72000000000003</v>
      </c>
      <c r="T15" s="11">
        <v>1200</v>
      </c>
      <c r="U15" s="35">
        <f>S15+T15</f>
        <v>1460.72</v>
      </c>
    </row>
    <row r="16" spans="2:21" x14ac:dyDescent="0.25">
      <c r="B16" t="s">
        <v>36</v>
      </c>
      <c r="C16" t="s">
        <v>86</v>
      </c>
      <c r="D16" t="s">
        <v>39</v>
      </c>
      <c r="E16" s="15">
        <v>4500</v>
      </c>
      <c r="F16" s="29">
        <v>15</v>
      </c>
      <c r="G16" s="15">
        <v>750</v>
      </c>
      <c r="H16" s="15"/>
      <c r="I16" s="15"/>
      <c r="J16" s="15"/>
      <c r="K16" s="15">
        <f t="shared" si="2"/>
        <v>4500</v>
      </c>
      <c r="L16" s="15">
        <v>0</v>
      </c>
      <c r="M16" s="15">
        <v>428.97</v>
      </c>
      <c r="N16" s="15">
        <f t="shared" si="6"/>
        <v>428.97</v>
      </c>
      <c r="O16" s="15">
        <v>0</v>
      </c>
      <c r="P16" s="15">
        <f t="shared" si="3"/>
        <v>517.5</v>
      </c>
      <c r="Q16" s="15">
        <f t="shared" si="5"/>
        <v>1696.47</v>
      </c>
      <c r="R16" s="70">
        <f t="shared" si="4"/>
        <v>2803.5299999999997</v>
      </c>
      <c r="S16" s="11">
        <v>251.41</v>
      </c>
      <c r="T16" s="11">
        <v>900</v>
      </c>
      <c r="U16" s="35">
        <f>S16+T16</f>
        <v>1151.4100000000001</v>
      </c>
    </row>
    <row r="17" spans="2:21" x14ac:dyDescent="0.25">
      <c r="B17" t="s">
        <v>115</v>
      </c>
      <c r="C17" t="s">
        <v>87</v>
      </c>
      <c r="D17" t="s">
        <v>39</v>
      </c>
      <c r="E17" s="15">
        <v>4500</v>
      </c>
      <c r="F17" s="29">
        <v>15</v>
      </c>
      <c r="G17" s="15">
        <v>610</v>
      </c>
      <c r="H17" s="15"/>
      <c r="I17" s="15"/>
      <c r="J17" s="15"/>
      <c r="K17" s="15">
        <f t="shared" si="2"/>
        <v>4500</v>
      </c>
      <c r="L17" s="15">
        <v>0</v>
      </c>
      <c r="M17" s="15">
        <v>428.97</v>
      </c>
      <c r="N17" s="15">
        <v>428.97</v>
      </c>
      <c r="O17" s="15">
        <v>0</v>
      </c>
      <c r="P17" s="15">
        <f t="shared" si="3"/>
        <v>517.5</v>
      </c>
      <c r="Q17" s="15">
        <f t="shared" si="5"/>
        <v>1556.47</v>
      </c>
      <c r="R17" s="70">
        <f t="shared" si="4"/>
        <v>2943.5299999999997</v>
      </c>
      <c r="S17" s="11">
        <v>251.41</v>
      </c>
      <c r="T17" s="11">
        <v>900</v>
      </c>
      <c r="U17" s="35">
        <f t="shared" ref="U17:U19" si="7">S17+T17</f>
        <v>1151.4100000000001</v>
      </c>
    </row>
    <row r="18" spans="2:21" x14ac:dyDescent="0.25">
      <c r="B18" t="s">
        <v>116</v>
      </c>
      <c r="C18" t="s">
        <v>89</v>
      </c>
      <c r="D18" t="s">
        <v>4</v>
      </c>
      <c r="E18" s="15">
        <v>2700</v>
      </c>
      <c r="F18" s="29">
        <v>15</v>
      </c>
      <c r="G18" s="15">
        <v>450</v>
      </c>
      <c r="H18" s="15"/>
      <c r="I18" s="15"/>
      <c r="J18" s="15"/>
      <c r="K18" s="15">
        <f t="shared" si="2"/>
        <v>2700</v>
      </c>
      <c r="L18" s="15">
        <v>147.32</v>
      </c>
      <c r="M18" s="15">
        <v>188.33</v>
      </c>
      <c r="N18" s="15">
        <f t="shared" si="6"/>
        <v>41.010000000000019</v>
      </c>
      <c r="O18" s="15">
        <v>0</v>
      </c>
      <c r="P18" s="15">
        <f t="shared" si="3"/>
        <v>310.5</v>
      </c>
      <c r="Q18" s="15">
        <f t="shared" si="5"/>
        <v>801.51</v>
      </c>
      <c r="R18" s="70">
        <f t="shared" si="4"/>
        <v>1898.49</v>
      </c>
      <c r="S18" s="11">
        <v>240.25</v>
      </c>
      <c r="T18" s="11">
        <v>540</v>
      </c>
      <c r="U18" s="35">
        <f t="shared" si="7"/>
        <v>780.25</v>
      </c>
    </row>
    <row r="19" spans="2:21" x14ac:dyDescent="0.25">
      <c r="B19" t="s">
        <v>117</v>
      </c>
      <c r="C19" t="s">
        <v>88</v>
      </c>
      <c r="D19" t="s">
        <v>40</v>
      </c>
      <c r="E19" s="15">
        <v>3150</v>
      </c>
      <c r="F19" s="29">
        <v>15</v>
      </c>
      <c r="G19" s="15">
        <v>1029</v>
      </c>
      <c r="H19" s="15"/>
      <c r="I19" s="15"/>
      <c r="J19" s="15"/>
      <c r="K19" s="15">
        <f t="shared" si="2"/>
        <v>3150</v>
      </c>
      <c r="L19" s="15">
        <v>126.77</v>
      </c>
      <c r="M19" s="15">
        <v>237.29</v>
      </c>
      <c r="N19" s="15">
        <f t="shared" si="6"/>
        <v>110.52</v>
      </c>
      <c r="O19" s="15">
        <v>0</v>
      </c>
      <c r="P19" s="15">
        <f t="shared" si="3"/>
        <v>362.25</v>
      </c>
      <c r="Q19" s="15">
        <f t="shared" si="5"/>
        <v>1501.77</v>
      </c>
      <c r="R19" s="70">
        <f t="shared" si="4"/>
        <v>1648.23</v>
      </c>
      <c r="S19" s="11">
        <v>243.04</v>
      </c>
      <c r="T19" s="11">
        <v>630</v>
      </c>
      <c r="U19" s="35">
        <f t="shared" si="7"/>
        <v>873.04</v>
      </c>
    </row>
    <row r="20" spans="2:21" x14ac:dyDescent="0.25">
      <c r="B20" s="2" t="s">
        <v>26</v>
      </c>
      <c r="C20" s="30"/>
      <c r="D20" s="30"/>
      <c r="E20" s="34">
        <f>SUM(E12:E19)</f>
        <v>41550</v>
      </c>
      <c r="F20" s="34"/>
      <c r="G20" s="34">
        <f>+G19+G18+G17+G16</f>
        <v>2839</v>
      </c>
      <c r="H20" s="34"/>
      <c r="I20" s="34">
        <f t="shared" ref="I20:U20" si="8">SUM(I12:I19)</f>
        <v>0</v>
      </c>
      <c r="J20" s="34">
        <f t="shared" si="8"/>
        <v>0</v>
      </c>
      <c r="K20" s="34">
        <f t="shared" si="8"/>
        <v>41550</v>
      </c>
      <c r="L20" s="34">
        <f t="shared" si="8"/>
        <v>274.08999999999997</v>
      </c>
      <c r="M20" s="34">
        <f t="shared" si="8"/>
        <v>4765.54</v>
      </c>
      <c r="N20" s="34">
        <f t="shared" si="8"/>
        <v>4494.3500000000013</v>
      </c>
      <c r="O20" s="34">
        <f t="shared" si="8"/>
        <v>0</v>
      </c>
      <c r="P20" s="34">
        <f t="shared" si="8"/>
        <v>4163</v>
      </c>
      <c r="Q20" s="34">
        <f t="shared" si="8"/>
        <v>11496.35</v>
      </c>
      <c r="R20" s="34">
        <f t="shared" si="8"/>
        <v>30053.649999999998</v>
      </c>
      <c r="S20" s="34">
        <f t="shared" si="8"/>
        <v>2045.7200000000003</v>
      </c>
      <c r="T20" s="34">
        <f t="shared" si="8"/>
        <v>7240</v>
      </c>
      <c r="U20" s="34">
        <f t="shared" si="8"/>
        <v>9285.7200000000012</v>
      </c>
    </row>
    <row r="21" spans="2:21" hidden="1" x14ac:dyDescent="0.25">
      <c r="B21" s="2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2:21" x14ac:dyDescent="0.25">
      <c r="B22" s="2" t="s">
        <v>50</v>
      </c>
      <c r="C22" s="2" t="s">
        <v>160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2:21" x14ac:dyDescent="0.25">
      <c r="B23" t="s">
        <v>119</v>
      </c>
      <c r="C23" t="s">
        <v>91</v>
      </c>
      <c r="D23" t="s">
        <v>76</v>
      </c>
      <c r="E23" s="15">
        <v>5350</v>
      </c>
      <c r="F23" s="29">
        <v>14</v>
      </c>
      <c r="G23" s="15"/>
      <c r="H23" s="15"/>
      <c r="I23" s="64">
        <v>356.67</v>
      </c>
      <c r="J23" s="15"/>
      <c r="K23" s="15">
        <f>E23-I23</f>
        <v>4993.33</v>
      </c>
      <c r="L23" s="15">
        <v>0</v>
      </c>
      <c r="M23" s="15">
        <v>453.47</v>
      </c>
      <c r="N23" s="15">
        <v>588.20000000000005</v>
      </c>
      <c r="O23" s="15">
        <v>0</v>
      </c>
      <c r="P23" s="15">
        <f>E23*0.115</f>
        <v>615.25</v>
      </c>
      <c r="Q23" s="15">
        <f>SUM(N23:P23)+G23</f>
        <v>1203.45</v>
      </c>
      <c r="R23" s="70">
        <f>K23-Q23</f>
        <v>3789.88</v>
      </c>
      <c r="S23" s="11">
        <v>256.68</v>
      </c>
      <c r="T23" s="11">
        <v>1070</v>
      </c>
      <c r="U23" s="35">
        <f>S23+T23</f>
        <v>1326.68</v>
      </c>
    </row>
    <row r="24" spans="2:21" x14ac:dyDescent="0.25">
      <c r="B24" t="s">
        <v>120</v>
      </c>
      <c r="C24" t="s">
        <v>93</v>
      </c>
      <c r="D24" t="s">
        <v>78</v>
      </c>
      <c r="E24" s="15">
        <v>5350</v>
      </c>
      <c r="F24" s="29">
        <v>15</v>
      </c>
      <c r="G24" s="15"/>
      <c r="H24" s="15"/>
      <c r="I24" s="64">
        <v>1.69</v>
      </c>
      <c r="J24" s="15"/>
      <c r="K24" s="15">
        <f>E24-I24</f>
        <v>5348.31</v>
      </c>
      <c r="L24" s="15">
        <v>0</v>
      </c>
      <c r="M24" s="15">
        <v>588.20000000000005</v>
      </c>
      <c r="N24" s="15">
        <f>M24-L24</f>
        <v>588.20000000000005</v>
      </c>
      <c r="O24" s="15">
        <v>0</v>
      </c>
      <c r="P24" s="15">
        <f>E24*0.115</f>
        <v>615.25</v>
      </c>
      <c r="Q24" s="15">
        <f>SUM(N24:P24)+G24</f>
        <v>1203.45</v>
      </c>
      <c r="R24" s="70">
        <f>K24-Q24</f>
        <v>4144.8600000000006</v>
      </c>
      <c r="S24" s="11">
        <v>256.68</v>
      </c>
      <c r="T24" s="11">
        <v>1070</v>
      </c>
      <c r="U24" s="35">
        <f>S24+T24</f>
        <v>1326.68</v>
      </c>
    </row>
    <row r="25" spans="2:21" x14ac:dyDescent="0.25">
      <c r="B25" t="s">
        <v>121</v>
      </c>
      <c r="C25" t="s">
        <v>114</v>
      </c>
      <c r="D25" t="s">
        <v>79</v>
      </c>
      <c r="E25" s="15">
        <v>5350</v>
      </c>
      <c r="F25" s="29">
        <v>15</v>
      </c>
      <c r="G25" s="15"/>
      <c r="H25" s="15"/>
      <c r="I25" s="15"/>
      <c r="J25" s="15"/>
      <c r="K25" s="15">
        <f>E25-I25</f>
        <v>5350</v>
      </c>
      <c r="L25" s="15">
        <v>0</v>
      </c>
      <c r="M25" s="15">
        <v>588.20000000000005</v>
      </c>
      <c r="N25" s="15">
        <f>M25-L25</f>
        <v>588.20000000000005</v>
      </c>
      <c r="O25" s="15">
        <v>0</v>
      </c>
      <c r="P25" s="15">
        <f>E25*0.115</f>
        <v>615.25</v>
      </c>
      <c r="Q25" s="15">
        <f>SUM(N25:P25)+G25</f>
        <v>1203.45</v>
      </c>
      <c r="R25" s="70">
        <f>K25-Q25</f>
        <v>4146.55</v>
      </c>
      <c r="S25" s="11">
        <v>256.68</v>
      </c>
      <c r="T25" s="11">
        <v>1070</v>
      </c>
      <c r="U25" s="35">
        <f>S25+T25</f>
        <v>1326.68</v>
      </c>
    </row>
    <row r="26" spans="2:21" x14ac:dyDescent="0.25">
      <c r="B26" s="2" t="s">
        <v>26</v>
      </c>
      <c r="C26" s="30"/>
      <c r="D26" s="30"/>
      <c r="E26" s="34">
        <f>SUM(E23:E25)</f>
        <v>16050</v>
      </c>
      <c r="F26" s="34"/>
      <c r="G26" s="34">
        <f>+G25+G24+G23</f>
        <v>0</v>
      </c>
      <c r="H26" s="34"/>
      <c r="I26" s="34">
        <f>SUM(I23:I25)</f>
        <v>358.36</v>
      </c>
      <c r="J26" s="34">
        <f>SUM(J23:J25)</f>
        <v>0</v>
      </c>
      <c r="K26" s="34">
        <f t="shared" ref="K26:U26" si="9">SUM(K23:K25)</f>
        <v>15691.64</v>
      </c>
      <c r="L26" s="34">
        <f t="shared" si="9"/>
        <v>0</v>
      </c>
      <c r="M26" s="34">
        <f t="shared" si="9"/>
        <v>1629.8700000000001</v>
      </c>
      <c r="N26" s="34">
        <f t="shared" si="9"/>
        <v>1764.6000000000001</v>
      </c>
      <c r="O26" s="34">
        <f t="shared" si="9"/>
        <v>0</v>
      </c>
      <c r="P26" s="34">
        <f t="shared" si="9"/>
        <v>1845.75</v>
      </c>
      <c r="Q26" s="34">
        <f t="shared" si="9"/>
        <v>3610.3500000000004</v>
      </c>
      <c r="R26" s="34">
        <f t="shared" si="9"/>
        <v>12081.29</v>
      </c>
      <c r="S26" s="34">
        <f t="shared" si="9"/>
        <v>770.04</v>
      </c>
      <c r="T26" s="34">
        <f t="shared" si="9"/>
        <v>3210</v>
      </c>
      <c r="U26" s="34">
        <f t="shared" si="9"/>
        <v>3980.04</v>
      </c>
    </row>
    <row r="27" spans="2:21" hidden="1" x14ac:dyDescent="0.25"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2:21" x14ac:dyDescent="0.25">
      <c r="B28" s="2" t="s">
        <v>63</v>
      </c>
      <c r="C28" s="2" t="s">
        <v>51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2:21" x14ac:dyDescent="0.25">
      <c r="B29" t="s">
        <v>122</v>
      </c>
      <c r="C29" t="s">
        <v>97</v>
      </c>
      <c r="D29" t="s">
        <v>80</v>
      </c>
      <c r="E29" s="15">
        <v>5350</v>
      </c>
      <c r="F29" s="29">
        <v>15</v>
      </c>
      <c r="G29" s="15"/>
      <c r="H29" s="15"/>
      <c r="I29" s="15"/>
      <c r="J29" s="15"/>
      <c r="K29" s="15">
        <f t="shared" ref="K29:K39" si="10">E29-I29</f>
        <v>5350</v>
      </c>
      <c r="L29" s="15">
        <v>0</v>
      </c>
      <c r="M29" s="15">
        <v>588.20000000000005</v>
      </c>
      <c r="N29" s="15">
        <f>M29-L29</f>
        <v>588.20000000000005</v>
      </c>
      <c r="O29" s="15">
        <v>0</v>
      </c>
      <c r="P29" s="15">
        <f>E29*0.115</f>
        <v>615.25</v>
      </c>
      <c r="Q29" s="15">
        <f t="shared" ref="Q29:Q39" si="11">SUM(N29:P29)+G29</f>
        <v>1203.45</v>
      </c>
      <c r="R29" s="70">
        <f t="shared" ref="R29:R39" si="12">K29-Q29</f>
        <v>4146.55</v>
      </c>
      <c r="S29" s="11">
        <v>256.68</v>
      </c>
      <c r="T29" s="11">
        <v>1070</v>
      </c>
      <c r="U29" s="35">
        <f t="shared" ref="U29:U39" si="13">S29+T29</f>
        <v>1326.68</v>
      </c>
    </row>
    <row r="30" spans="2:21" x14ac:dyDescent="0.25">
      <c r="B30" t="s">
        <v>123</v>
      </c>
      <c r="C30" t="s">
        <v>100</v>
      </c>
      <c r="D30" t="s">
        <v>80</v>
      </c>
      <c r="E30" s="15">
        <v>5350</v>
      </c>
      <c r="F30" s="29">
        <v>15</v>
      </c>
      <c r="G30" s="15"/>
      <c r="H30" s="15"/>
      <c r="I30" s="64">
        <v>16.97</v>
      </c>
      <c r="J30" s="20"/>
      <c r="K30" s="20">
        <f t="shared" si="10"/>
        <v>5333.03</v>
      </c>
      <c r="L30" s="20">
        <v>0</v>
      </c>
      <c r="M30" s="20">
        <v>587.48</v>
      </c>
      <c r="N30" s="20">
        <v>588.20000000000005</v>
      </c>
      <c r="O30" s="15">
        <v>0</v>
      </c>
      <c r="P30" s="15">
        <f t="shared" ref="P30:P39" si="14">E30*0.115</f>
        <v>615.25</v>
      </c>
      <c r="Q30" s="15">
        <f t="shared" si="11"/>
        <v>1203.45</v>
      </c>
      <c r="R30" s="70">
        <f t="shared" si="12"/>
        <v>4129.58</v>
      </c>
      <c r="S30" s="11">
        <v>256.68</v>
      </c>
      <c r="T30" s="11">
        <v>1070</v>
      </c>
      <c r="U30" s="35">
        <f t="shared" si="13"/>
        <v>1326.68</v>
      </c>
    </row>
    <row r="31" spans="2:21" x14ac:dyDescent="0.25">
      <c r="B31" t="s">
        <v>124</v>
      </c>
      <c r="C31" t="s">
        <v>96</v>
      </c>
      <c r="D31" t="s">
        <v>78</v>
      </c>
      <c r="E31" s="15">
        <v>5350</v>
      </c>
      <c r="F31" s="29">
        <v>15</v>
      </c>
      <c r="G31" s="15"/>
      <c r="H31" s="15"/>
      <c r="I31" s="20"/>
      <c r="J31" s="20"/>
      <c r="K31" s="20">
        <f t="shared" si="10"/>
        <v>5350</v>
      </c>
      <c r="L31" s="20">
        <v>0</v>
      </c>
      <c r="M31" s="20">
        <v>588.20000000000005</v>
      </c>
      <c r="N31" s="20">
        <f t="shared" ref="N31:N39" si="15">M31-L31</f>
        <v>588.20000000000005</v>
      </c>
      <c r="O31" s="15">
        <v>0</v>
      </c>
      <c r="P31" s="15">
        <f t="shared" si="14"/>
        <v>615.25</v>
      </c>
      <c r="Q31" s="15">
        <f t="shared" si="11"/>
        <v>1203.45</v>
      </c>
      <c r="R31" s="70">
        <f t="shared" si="12"/>
        <v>4146.55</v>
      </c>
      <c r="S31" s="11">
        <v>256.68</v>
      </c>
      <c r="T31" s="11">
        <v>1070</v>
      </c>
      <c r="U31" s="35">
        <f t="shared" si="13"/>
        <v>1326.68</v>
      </c>
    </row>
    <row r="32" spans="2:21" x14ac:dyDescent="0.25">
      <c r="B32" t="s">
        <v>125</v>
      </c>
      <c r="C32" t="s">
        <v>104</v>
      </c>
      <c r="D32" t="s">
        <v>78</v>
      </c>
      <c r="E32" s="15">
        <v>5350</v>
      </c>
      <c r="F32" s="29">
        <v>15</v>
      </c>
      <c r="G32" s="15"/>
      <c r="H32" s="15"/>
      <c r="I32" s="20"/>
      <c r="J32" s="20"/>
      <c r="K32" s="20">
        <f t="shared" si="10"/>
        <v>5350</v>
      </c>
      <c r="L32" s="20">
        <v>0</v>
      </c>
      <c r="M32" s="20">
        <v>588.20000000000005</v>
      </c>
      <c r="N32" s="20">
        <f t="shared" si="15"/>
        <v>588.20000000000005</v>
      </c>
      <c r="O32" s="15">
        <v>0</v>
      </c>
      <c r="P32" s="15">
        <f t="shared" si="14"/>
        <v>615.25</v>
      </c>
      <c r="Q32" s="15">
        <f t="shared" si="11"/>
        <v>1203.45</v>
      </c>
      <c r="R32" s="70">
        <f t="shared" si="12"/>
        <v>4146.55</v>
      </c>
      <c r="S32" s="11">
        <v>256.68</v>
      </c>
      <c r="T32" s="11">
        <v>1070</v>
      </c>
      <c r="U32" s="35">
        <f t="shared" si="13"/>
        <v>1326.68</v>
      </c>
    </row>
    <row r="33" spans="2:21" x14ac:dyDescent="0.25">
      <c r="B33" t="s">
        <v>126</v>
      </c>
      <c r="C33" t="s">
        <v>94</v>
      </c>
      <c r="D33" t="s">
        <v>81</v>
      </c>
      <c r="E33" s="15">
        <v>5350</v>
      </c>
      <c r="F33" s="29">
        <v>15</v>
      </c>
      <c r="G33" s="15">
        <v>595</v>
      </c>
      <c r="H33" s="15"/>
      <c r="I33" s="64">
        <v>3.39</v>
      </c>
      <c r="J33" s="20"/>
      <c r="K33" s="20">
        <f t="shared" si="10"/>
        <v>5346.61</v>
      </c>
      <c r="L33" s="20">
        <v>0</v>
      </c>
      <c r="M33" s="20">
        <v>517.23</v>
      </c>
      <c r="N33" s="20">
        <v>588.02</v>
      </c>
      <c r="O33" s="15">
        <v>0</v>
      </c>
      <c r="P33" s="15">
        <f t="shared" si="14"/>
        <v>615.25</v>
      </c>
      <c r="Q33" s="15">
        <f t="shared" si="11"/>
        <v>1798.27</v>
      </c>
      <c r="R33" s="70">
        <f t="shared" si="12"/>
        <v>3548.3399999999997</v>
      </c>
      <c r="S33" s="11">
        <v>256.68</v>
      </c>
      <c r="T33" s="11">
        <v>1070</v>
      </c>
      <c r="U33" s="35">
        <f t="shared" si="13"/>
        <v>1326.68</v>
      </c>
    </row>
    <row r="34" spans="2:21" x14ac:dyDescent="0.25">
      <c r="B34" t="s">
        <v>127</v>
      </c>
      <c r="C34" t="s">
        <v>98</v>
      </c>
      <c r="D34" t="s">
        <v>81</v>
      </c>
      <c r="E34" s="15">
        <v>5350</v>
      </c>
      <c r="F34" s="29">
        <v>15</v>
      </c>
      <c r="G34" s="15"/>
      <c r="H34" s="20"/>
      <c r="I34" s="20"/>
      <c r="J34" s="20"/>
      <c r="K34" s="20">
        <f>E34+H34</f>
        <v>5350</v>
      </c>
      <c r="L34" s="20">
        <v>0</v>
      </c>
      <c r="M34" s="20">
        <v>588.20000000000005</v>
      </c>
      <c r="N34" s="20">
        <f t="shared" si="15"/>
        <v>588.20000000000005</v>
      </c>
      <c r="O34" s="15">
        <v>0</v>
      </c>
      <c r="P34" s="15">
        <f>E34*0.115</f>
        <v>615.25</v>
      </c>
      <c r="Q34" s="15">
        <f t="shared" si="11"/>
        <v>1203.45</v>
      </c>
      <c r="R34" s="70">
        <f t="shared" si="12"/>
        <v>4146.55</v>
      </c>
      <c r="S34" s="11">
        <v>256.68</v>
      </c>
      <c r="T34" s="11">
        <v>1070</v>
      </c>
      <c r="U34" s="35">
        <f t="shared" si="13"/>
        <v>1326.68</v>
      </c>
    </row>
    <row r="35" spans="2:21" x14ac:dyDescent="0.25">
      <c r="B35" t="s">
        <v>128</v>
      </c>
      <c r="C35" t="s">
        <v>101</v>
      </c>
      <c r="D35" t="s">
        <v>81</v>
      </c>
      <c r="E35" s="15">
        <v>5350</v>
      </c>
      <c r="F35" s="29">
        <v>15</v>
      </c>
      <c r="G35" s="15"/>
      <c r="H35" s="15"/>
      <c r="I35" s="64">
        <v>5.94</v>
      </c>
      <c r="J35" s="20"/>
      <c r="K35" s="20">
        <f>E35-I35</f>
        <v>5344.06</v>
      </c>
      <c r="L35" s="20">
        <v>0</v>
      </c>
      <c r="M35" s="15">
        <v>588.20000000000005</v>
      </c>
      <c r="N35" s="15">
        <f>M35-L35</f>
        <v>588.20000000000005</v>
      </c>
      <c r="O35" s="15">
        <v>0</v>
      </c>
      <c r="P35" s="15">
        <f t="shared" si="14"/>
        <v>615.25</v>
      </c>
      <c r="Q35" s="15">
        <f>SUM(N35:P35)+G35</f>
        <v>1203.45</v>
      </c>
      <c r="R35" s="70">
        <f>K35-Q35</f>
        <v>4140.6100000000006</v>
      </c>
      <c r="S35" s="11">
        <v>256.68</v>
      </c>
      <c r="T35" s="11">
        <v>1070</v>
      </c>
      <c r="U35" s="35">
        <f t="shared" si="13"/>
        <v>1326.68</v>
      </c>
    </row>
    <row r="36" spans="2:21" x14ac:dyDescent="0.25">
      <c r="B36" t="s">
        <v>129</v>
      </c>
      <c r="C36" t="s">
        <v>95</v>
      </c>
      <c r="D36" t="s">
        <v>82</v>
      </c>
      <c r="E36" s="15">
        <v>5350</v>
      </c>
      <c r="F36" s="29">
        <v>15</v>
      </c>
      <c r="G36" s="15">
        <v>1190</v>
      </c>
      <c r="H36" s="15"/>
      <c r="I36" s="15"/>
      <c r="J36" s="15"/>
      <c r="K36" s="15">
        <f t="shared" si="10"/>
        <v>5350</v>
      </c>
      <c r="L36" s="15">
        <v>0</v>
      </c>
      <c r="M36" s="15">
        <v>588.20000000000005</v>
      </c>
      <c r="N36" s="15">
        <f t="shared" si="15"/>
        <v>588.20000000000005</v>
      </c>
      <c r="O36" s="15">
        <v>0</v>
      </c>
      <c r="P36" s="15">
        <f t="shared" si="14"/>
        <v>615.25</v>
      </c>
      <c r="Q36" s="15">
        <f t="shared" si="11"/>
        <v>2393.4499999999998</v>
      </c>
      <c r="R36" s="70">
        <f t="shared" si="12"/>
        <v>2956.55</v>
      </c>
      <c r="S36" s="11">
        <v>256.68</v>
      </c>
      <c r="T36" s="11">
        <v>1070</v>
      </c>
      <c r="U36" s="35">
        <f t="shared" si="13"/>
        <v>1326.68</v>
      </c>
    </row>
    <row r="37" spans="2:21" x14ac:dyDescent="0.25">
      <c r="B37" t="s">
        <v>130</v>
      </c>
      <c r="C37" t="s">
        <v>102</v>
      </c>
      <c r="D37" t="s">
        <v>82</v>
      </c>
      <c r="E37" s="15">
        <v>5350</v>
      </c>
      <c r="F37" s="29">
        <v>15</v>
      </c>
      <c r="G37" s="15">
        <v>927.62</v>
      </c>
      <c r="H37" s="15"/>
      <c r="I37" s="15"/>
      <c r="J37" s="15"/>
      <c r="K37" s="15">
        <f t="shared" si="10"/>
        <v>5350</v>
      </c>
      <c r="L37" s="15">
        <v>0</v>
      </c>
      <c r="M37" s="15">
        <v>586.03</v>
      </c>
      <c r="N37" s="15">
        <v>588.20000000000005</v>
      </c>
      <c r="O37" s="15">
        <v>0</v>
      </c>
      <c r="P37" s="15">
        <f t="shared" si="14"/>
        <v>615.25</v>
      </c>
      <c r="Q37" s="15">
        <f>SUM(N37:P37)+G37</f>
        <v>2131.0700000000002</v>
      </c>
      <c r="R37" s="70">
        <f t="shared" si="12"/>
        <v>3218.93</v>
      </c>
      <c r="S37" s="11">
        <v>256.68</v>
      </c>
      <c r="T37" s="11">
        <v>1070</v>
      </c>
      <c r="U37" s="35">
        <f t="shared" si="13"/>
        <v>1326.68</v>
      </c>
    </row>
    <row r="38" spans="2:21" x14ac:dyDescent="0.25">
      <c r="B38" t="s">
        <v>131</v>
      </c>
      <c r="C38" t="s">
        <v>85</v>
      </c>
      <c r="D38" t="s">
        <v>83</v>
      </c>
      <c r="E38" s="15">
        <v>5350</v>
      </c>
      <c r="F38" s="29">
        <v>15</v>
      </c>
      <c r="G38" s="15">
        <v>1784</v>
      </c>
      <c r="H38" s="15"/>
      <c r="I38" s="15"/>
      <c r="J38" s="15"/>
      <c r="K38" s="15">
        <f t="shared" si="10"/>
        <v>5350</v>
      </c>
      <c r="L38" s="15">
        <v>0</v>
      </c>
      <c r="M38" s="15">
        <v>588.20000000000005</v>
      </c>
      <c r="N38" s="15">
        <f t="shared" si="15"/>
        <v>588.20000000000005</v>
      </c>
      <c r="O38" s="15">
        <v>0</v>
      </c>
      <c r="P38" s="15">
        <f t="shared" si="14"/>
        <v>615.25</v>
      </c>
      <c r="Q38" s="15">
        <f t="shared" si="11"/>
        <v>2987.45</v>
      </c>
      <c r="R38" s="70">
        <f t="shared" si="12"/>
        <v>2362.5500000000002</v>
      </c>
      <c r="S38" s="11">
        <v>256.68</v>
      </c>
      <c r="T38" s="11">
        <v>1070</v>
      </c>
      <c r="U38" s="35">
        <f t="shared" si="13"/>
        <v>1326.68</v>
      </c>
    </row>
    <row r="39" spans="2:21" x14ac:dyDescent="0.25">
      <c r="B39" t="s">
        <v>132</v>
      </c>
      <c r="C39" t="s">
        <v>103</v>
      </c>
      <c r="D39" t="s">
        <v>83</v>
      </c>
      <c r="E39" s="15">
        <v>5350</v>
      </c>
      <c r="F39" s="29">
        <v>15</v>
      </c>
      <c r="G39" s="15"/>
      <c r="H39" s="15"/>
      <c r="I39" s="15"/>
      <c r="J39" s="15"/>
      <c r="K39" s="15">
        <f t="shared" si="10"/>
        <v>5350</v>
      </c>
      <c r="L39" s="15">
        <v>0</v>
      </c>
      <c r="M39" s="15">
        <v>588.20000000000005</v>
      </c>
      <c r="N39" s="15">
        <f t="shared" si="15"/>
        <v>588.20000000000005</v>
      </c>
      <c r="O39" s="15">
        <v>0</v>
      </c>
      <c r="P39" s="15">
        <f t="shared" si="14"/>
        <v>615.25</v>
      </c>
      <c r="Q39" s="15">
        <f t="shared" si="11"/>
        <v>1203.45</v>
      </c>
      <c r="R39" s="70">
        <f t="shared" si="12"/>
        <v>4146.55</v>
      </c>
      <c r="S39" s="11">
        <v>256.68</v>
      </c>
      <c r="T39" s="11">
        <v>1070</v>
      </c>
      <c r="U39" s="35">
        <f t="shared" si="13"/>
        <v>1326.68</v>
      </c>
    </row>
    <row r="40" spans="2:21" x14ac:dyDescent="0.25">
      <c r="B40" s="2" t="s">
        <v>26</v>
      </c>
      <c r="C40" s="30"/>
      <c r="D40" s="30"/>
      <c r="E40" s="34">
        <f>SUM(E29:E39)</f>
        <v>58850</v>
      </c>
      <c r="F40" s="34"/>
      <c r="G40" s="34">
        <f>+G39+G38+G37+G36+G35+G34+G33</f>
        <v>4496.62</v>
      </c>
      <c r="H40" s="34"/>
      <c r="I40" s="34">
        <f>SUM(I29:I39)</f>
        <v>26.3</v>
      </c>
      <c r="J40" s="34">
        <f>SUM(J29:J39)</f>
        <v>0</v>
      </c>
      <c r="K40" s="34">
        <f>SUM(K29:K39)</f>
        <v>58823.7</v>
      </c>
      <c r="L40" s="34">
        <f t="shared" ref="L40:U40" si="16">SUM(L29:L39)</f>
        <v>0</v>
      </c>
      <c r="M40" s="34">
        <f t="shared" si="16"/>
        <v>6396.3399999999992</v>
      </c>
      <c r="N40" s="34">
        <f t="shared" si="16"/>
        <v>6470.0199999999995</v>
      </c>
      <c r="O40" s="34">
        <f t="shared" si="16"/>
        <v>0</v>
      </c>
      <c r="P40" s="34">
        <f t="shared" si="16"/>
        <v>6767.75</v>
      </c>
      <c r="Q40" s="34">
        <f t="shared" si="16"/>
        <v>17734.39</v>
      </c>
      <c r="R40" s="34">
        <f t="shared" si="16"/>
        <v>41089.310000000005</v>
      </c>
      <c r="S40" s="34">
        <f t="shared" si="16"/>
        <v>2823.4799999999996</v>
      </c>
      <c r="T40" s="34">
        <f t="shared" si="16"/>
        <v>11770</v>
      </c>
      <c r="U40" s="34">
        <f t="shared" si="16"/>
        <v>14593.480000000001</v>
      </c>
    </row>
    <row r="41" spans="2:21" hidden="1" x14ac:dyDescent="0.25"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2:21" x14ac:dyDescent="0.25">
      <c r="B42" s="2" t="s">
        <v>140</v>
      </c>
      <c r="C42" s="2" t="s">
        <v>64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2:21" x14ac:dyDescent="0.25">
      <c r="B43" t="s">
        <v>133</v>
      </c>
      <c r="C43" t="s">
        <v>99</v>
      </c>
      <c r="D43" t="s">
        <v>80</v>
      </c>
      <c r="E43" s="15">
        <v>5350</v>
      </c>
      <c r="F43" s="29">
        <v>15</v>
      </c>
      <c r="G43" s="15"/>
      <c r="H43" s="15"/>
      <c r="I43" s="15"/>
      <c r="J43" s="20"/>
      <c r="K43" s="20">
        <f>E43-I43</f>
        <v>5350</v>
      </c>
      <c r="L43" s="20">
        <v>0</v>
      </c>
      <c r="M43" s="20">
        <v>586.21</v>
      </c>
      <c r="N43" s="20">
        <v>588.20000000000005</v>
      </c>
      <c r="O43" s="15">
        <v>0</v>
      </c>
      <c r="P43" s="15">
        <f t="shared" ref="P43" si="17">E43*0.115</f>
        <v>615.25</v>
      </c>
      <c r="Q43" s="15">
        <f>SUM(N43:P43)+G43</f>
        <v>1203.45</v>
      </c>
      <c r="R43" s="70">
        <f>K43-Q43</f>
        <v>4146.55</v>
      </c>
      <c r="S43" s="11">
        <v>256.68</v>
      </c>
      <c r="T43" s="11">
        <v>1070</v>
      </c>
      <c r="U43" s="35">
        <f t="shared" ref="U43:U44" si="18">S43+T43</f>
        <v>1326.68</v>
      </c>
    </row>
    <row r="44" spans="2:21" x14ac:dyDescent="0.25">
      <c r="B44" t="s">
        <v>152</v>
      </c>
      <c r="C44" t="s">
        <v>92</v>
      </c>
      <c r="D44" t="s">
        <v>80</v>
      </c>
      <c r="E44" s="15">
        <v>5350</v>
      </c>
      <c r="F44" s="29">
        <v>15</v>
      </c>
      <c r="G44" s="15"/>
      <c r="H44" s="15"/>
      <c r="I44" s="15"/>
      <c r="J44" s="15"/>
      <c r="K44" s="15">
        <f>E44-I44</f>
        <v>5350</v>
      </c>
      <c r="L44" s="15">
        <v>0</v>
      </c>
      <c r="M44" s="15">
        <v>588.20000000000005</v>
      </c>
      <c r="N44" s="15">
        <v>588.20000000000005</v>
      </c>
      <c r="O44" s="15">
        <v>0</v>
      </c>
      <c r="P44" s="15">
        <f>K44*0.115</f>
        <v>615.25</v>
      </c>
      <c r="Q44" s="15">
        <f>SUM(N44:P44)+G44</f>
        <v>1203.45</v>
      </c>
      <c r="R44" s="70">
        <f>K44-Q44</f>
        <v>4146.55</v>
      </c>
      <c r="S44" s="11">
        <v>256.68</v>
      </c>
      <c r="T44" s="11">
        <v>1070</v>
      </c>
      <c r="U44" s="35">
        <f t="shared" si="18"/>
        <v>1326.68</v>
      </c>
    </row>
    <row r="45" spans="2:21" x14ac:dyDescent="0.25">
      <c r="B45" s="2" t="s">
        <v>26</v>
      </c>
      <c r="C45" s="30"/>
      <c r="D45" s="30"/>
      <c r="E45" s="34">
        <f>E43+E44</f>
        <v>10700</v>
      </c>
      <c r="F45" s="34"/>
      <c r="G45" s="34">
        <f>+G44+G43</f>
        <v>0</v>
      </c>
      <c r="H45" s="34"/>
      <c r="I45" s="34">
        <f>I43+I44</f>
        <v>0</v>
      </c>
      <c r="J45" s="34">
        <f>J43+J44</f>
        <v>0</v>
      </c>
      <c r="K45" s="34">
        <f t="shared" ref="K45:U45" si="19">K43+K44</f>
        <v>10700</v>
      </c>
      <c r="L45" s="34">
        <f t="shared" si="19"/>
        <v>0</v>
      </c>
      <c r="M45" s="34">
        <f t="shared" si="19"/>
        <v>1174.4100000000001</v>
      </c>
      <c r="N45" s="34">
        <f t="shared" si="19"/>
        <v>1176.4000000000001</v>
      </c>
      <c r="O45" s="34">
        <f t="shared" si="19"/>
        <v>0</v>
      </c>
      <c r="P45" s="34">
        <f t="shared" si="19"/>
        <v>1230.5</v>
      </c>
      <c r="Q45" s="34">
        <f t="shared" si="19"/>
        <v>2406.9</v>
      </c>
      <c r="R45" s="34">
        <f t="shared" si="19"/>
        <v>8293.1</v>
      </c>
      <c r="S45" s="34">
        <f t="shared" si="19"/>
        <v>513.36</v>
      </c>
      <c r="T45" s="34">
        <f t="shared" si="19"/>
        <v>2140</v>
      </c>
      <c r="U45" s="34">
        <f t="shared" si="19"/>
        <v>2653.36</v>
      </c>
    </row>
    <row r="46" spans="2:21" hidden="1" x14ac:dyDescent="0.25">
      <c r="B46" s="2"/>
      <c r="E46" s="15"/>
      <c r="F46" s="15"/>
      <c r="G46" s="15"/>
      <c r="H46" s="15"/>
      <c r="I46" s="15"/>
      <c r="J46" s="15"/>
      <c r="K46" s="16"/>
      <c r="L46" s="16"/>
      <c r="M46" s="16"/>
      <c r="N46" s="16"/>
      <c r="O46" s="16"/>
      <c r="P46" s="16"/>
      <c r="Q46" s="16"/>
      <c r="R46" s="16"/>
      <c r="S46" s="8"/>
      <c r="T46" s="8"/>
      <c r="U46" s="8"/>
    </row>
    <row r="47" spans="2:21" x14ac:dyDescent="0.25">
      <c r="B47" s="2" t="s">
        <v>161</v>
      </c>
      <c r="C47" s="2" t="s">
        <v>162</v>
      </c>
      <c r="E47" s="15"/>
      <c r="F47" s="15"/>
      <c r="G47" s="15"/>
      <c r="H47" s="15"/>
      <c r="I47" s="15"/>
      <c r="J47" s="15"/>
      <c r="K47" s="16"/>
      <c r="L47" s="16"/>
      <c r="M47" s="16"/>
      <c r="N47" s="16"/>
      <c r="O47" s="16"/>
      <c r="P47" s="16"/>
      <c r="Q47" s="16"/>
      <c r="R47" s="16"/>
      <c r="S47" s="8"/>
      <c r="T47" s="8"/>
      <c r="U47" s="8"/>
    </row>
    <row r="48" spans="2:21" x14ac:dyDescent="0.25">
      <c r="B48" t="s">
        <v>163</v>
      </c>
      <c r="C48" s="11" t="s">
        <v>42</v>
      </c>
      <c r="D48" t="s">
        <v>2</v>
      </c>
      <c r="E48" s="15">
        <v>10000</v>
      </c>
      <c r="F48" s="29">
        <v>15</v>
      </c>
      <c r="G48" s="15"/>
      <c r="H48" s="15"/>
      <c r="I48" s="15"/>
      <c r="J48" s="15"/>
      <c r="K48" s="15">
        <f>E48-I48</f>
        <v>10000</v>
      </c>
      <c r="L48" s="15">
        <v>0</v>
      </c>
      <c r="M48" s="15">
        <v>1581.44</v>
      </c>
      <c r="N48" s="15">
        <f>M48-L48</f>
        <v>1581.44</v>
      </c>
      <c r="O48" s="15">
        <v>0</v>
      </c>
      <c r="P48" s="15">
        <f>E48*0.115</f>
        <v>1150</v>
      </c>
      <c r="Q48" s="15">
        <f>SUM(N48:P48)+G48</f>
        <v>2731.44</v>
      </c>
      <c r="R48" s="70">
        <f>K48-Q48</f>
        <v>7268.5599999999995</v>
      </c>
      <c r="S48" s="11">
        <v>285.52999999999997</v>
      </c>
      <c r="T48" s="11">
        <v>2000</v>
      </c>
      <c r="U48" s="35">
        <f>S48+T48</f>
        <v>2285.5299999999997</v>
      </c>
    </row>
    <row r="49" spans="2:21" x14ac:dyDescent="0.25">
      <c r="B49" s="2" t="s">
        <v>26</v>
      </c>
      <c r="E49" s="34">
        <f>E48</f>
        <v>10000</v>
      </c>
      <c r="F49" s="34"/>
      <c r="G49" s="34">
        <f>+G48</f>
        <v>0</v>
      </c>
      <c r="H49" s="34"/>
      <c r="I49" s="34">
        <f>I48</f>
        <v>0</v>
      </c>
      <c r="J49" s="34">
        <f>J48</f>
        <v>0</v>
      </c>
      <c r="K49" s="34">
        <f t="shared" ref="K49:U49" si="20">K48</f>
        <v>10000</v>
      </c>
      <c r="L49" s="34">
        <f t="shared" si="20"/>
        <v>0</v>
      </c>
      <c r="M49" s="34">
        <f t="shared" si="20"/>
        <v>1581.44</v>
      </c>
      <c r="N49" s="34">
        <f t="shared" si="20"/>
        <v>1581.44</v>
      </c>
      <c r="O49" s="34">
        <f t="shared" si="20"/>
        <v>0</v>
      </c>
      <c r="P49" s="34">
        <f t="shared" si="20"/>
        <v>1150</v>
      </c>
      <c r="Q49" s="34">
        <f t="shared" si="20"/>
        <v>2731.44</v>
      </c>
      <c r="R49" s="34">
        <f t="shared" si="20"/>
        <v>7268.5599999999995</v>
      </c>
      <c r="S49" s="34">
        <f t="shared" si="20"/>
        <v>285.52999999999997</v>
      </c>
      <c r="T49" s="34">
        <f t="shared" si="20"/>
        <v>2000</v>
      </c>
      <c r="U49" s="34">
        <f t="shared" si="20"/>
        <v>2285.5299999999997</v>
      </c>
    </row>
    <row r="50" spans="2:21" ht="12" customHeight="1" x14ac:dyDescent="0.25">
      <c r="B50" s="2"/>
      <c r="E50" s="15"/>
      <c r="F50" s="15"/>
      <c r="G50" s="15"/>
      <c r="H50" s="15"/>
      <c r="I50" s="15"/>
      <c r="J50" s="15"/>
      <c r="K50" s="16"/>
      <c r="L50" s="16"/>
      <c r="M50" s="16"/>
      <c r="N50" s="16"/>
      <c r="O50" s="16"/>
      <c r="P50" s="16"/>
      <c r="Q50" s="16"/>
      <c r="R50" s="16"/>
      <c r="S50" s="8"/>
      <c r="T50" s="8"/>
      <c r="U50" s="8"/>
    </row>
    <row r="51" spans="2:21" hidden="1" x14ac:dyDescent="0.25"/>
    <row r="52" spans="2:21" ht="18.75" x14ac:dyDescent="0.3">
      <c r="C52" s="53" t="s">
        <v>105</v>
      </c>
      <c r="E52" s="17">
        <f>E9+E20+E26+E40+E45+E49</f>
        <v>158954.95000000001</v>
      </c>
      <c r="F52" s="17"/>
      <c r="G52" s="17">
        <f>G9+G20+G26+G40+G45+G49</f>
        <v>10844.619999999999</v>
      </c>
      <c r="H52" s="17"/>
      <c r="I52" s="17">
        <f>I9+I20+I26+I40+I45+I49</f>
        <v>384.66</v>
      </c>
      <c r="J52" s="17">
        <f t="shared" ref="J52:U52" si="21">J9+J20+J26+J40+J45+J49</f>
        <v>0</v>
      </c>
      <c r="K52" s="17">
        <f t="shared" si="21"/>
        <v>158570.28999999998</v>
      </c>
      <c r="L52" s="17">
        <f t="shared" si="21"/>
        <v>274.08999999999997</v>
      </c>
      <c r="M52" s="17">
        <f t="shared" si="21"/>
        <v>19286.219999999998</v>
      </c>
      <c r="N52" s="17">
        <f t="shared" si="21"/>
        <v>19225.43</v>
      </c>
      <c r="O52" s="17">
        <f t="shared" si="21"/>
        <v>0</v>
      </c>
      <c r="P52" s="17">
        <f t="shared" si="21"/>
        <v>17664.56925</v>
      </c>
      <c r="Q52" s="17">
        <f t="shared" si="21"/>
        <v>47734.619250000003</v>
      </c>
      <c r="R52" s="54">
        <f t="shared" si="21"/>
        <v>110835.67075</v>
      </c>
      <c r="S52" s="17">
        <f t="shared" si="21"/>
        <v>7020.3799999999992</v>
      </c>
      <c r="T52" s="17">
        <f t="shared" si="21"/>
        <v>30720.989999999998</v>
      </c>
      <c r="U52" s="55">
        <f t="shared" si="21"/>
        <v>37741.370000000003</v>
      </c>
    </row>
    <row r="55" spans="2:21" ht="15.75" thickBot="1" x14ac:dyDescent="0.3">
      <c r="E55" s="375"/>
      <c r="F55" s="375"/>
      <c r="G55" s="65"/>
      <c r="H55" s="65"/>
      <c r="P55" s="376"/>
      <c r="Q55" s="376"/>
    </row>
    <row r="56" spans="2:21" x14ac:dyDescent="0.25">
      <c r="E56" s="377" t="s">
        <v>177</v>
      </c>
      <c r="F56" s="377"/>
      <c r="G56" s="66"/>
      <c r="H56" s="66"/>
      <c r="P56" s="26"/>
      <c r="Q56" s="26"/>
      <c r="R56" s="378" t="s">
        <v>157</v>
      </c>
      <c r="S56" s="378"/>
    </row>
    <row r="60" spans="2:21" x14ac:dyDescent="0.25">
      <c r="C60" t="s">
        <v>174</v>
      </c>
    </row>
  </sheetData>
  <mergeCells count="5">
    <mergeCell ref="B4:U4"/>
    <mergeCell ref="E55:F55"/>
    <mergeCell ref="P55:Q55"/>
    <mergeCell ref="E56:F56"/>
    <mergeCell ref="R56:S56"/>
  </mergeCells>
  <pageMargins left="0.51181102362204722" right="0.51181102362204722" top="0.15748031496062992" bottom="0.35433070866141736" header="0.31496062992125984" footer="0.31496062992125984"/>
  <pageSetup scale="42" fitToHeight="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U60"/>
  <sheetViews>
    <sheetView topLeftCell="C2" zoomScale="85" zoomScaleNormal="85" workbookViewId="0">
      <selection activeCell="E52" sqref="E52"/>
    </sheetView>
  </sheetViews>
  <sheetFormatPr baseColWidth="10" defaultRowHeight="15" x14ac:dyDescent="0.25"/>
  <cols>
    <col min="1" max="1" width="0.7109375" customWidth="1"/>
    <col min="2" max="2" width="17.140625" customWidth="1"/>
    <col min="3" max="3" width="34.140625" customWidth="1"/>
    <col min="4" max="4" width="28" customWidth="1"/>
    <col min="5" max="5" width="18.42578125" customWidth="1"/>
    <col min="6" max="6" width="12.7109375" customWidth="1"/>
    <col min="7" max="7" width="12.28515625" customWidth="1"/>
    <col min="8" max="8" width="14.140625" customWidth="1"/>
    <col min="9" max="9" width="13.85546875" customWidth="1"/>
    <col min="10" max="10" width="0" hidden="1" customWidth="1"/>
    <col min="11" max="11" width="14.42578125" customWidth="1"/>
    <col min="12" max="12" width="9.42578125" customWidth="1"/>
    <col min="13" max="13" width="14.42578125" customWidth="1"/>
    <col min="14" max="14" width="12.7109375" customWidth="1"/>
    <col min="15" max="15" width="11.42578125" hidden="1" customWidth="1"/>
    <col min="16" max="16" width="12.85546875" customWidth="1"/>
    <col min="17" max="17" width="16.5703125" customWidth="1"/>
    <col min="18" max="18" width="18.28515625" customWidth="1"/>
    <col min="19" max="19" width="16.140625" customWidth="1"/>
    <col min="20" max="20" width="14.85546875" customWidth="1"/>
    <col min="21" max="21" width="17" customWidth="1"/>
  </cols>
  <sheetData>
    <row r="3" spans="2:21" x14ac:dyDescent="0.25"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2:21" ht="16.5" customHeight="1" x14ac:dyDescent="0.25">
      <c r="B4" s="372" t="s">
        <v>184</v>
      </c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</row>
    <row r="5" spans="2:21" s="56" customFormat="1" ht="39.75" customHeight="1" thickBot="1" x14ac:dyDescent="0.3">
      <c r="B5" s="42" t="s">
        <v>9</v>
      </c>
      <c r="C5" s="43" t="s">
        <v>10</v>
      </c>
      <c r="D5" s="43" t="s">
        <v>0</v>
      </c>
      <c r="E5" s="44" t="s">
        <v>11</v>
      </c>
      <c r="F5" s="44" t="s">
        <v>150</v>
      </c>
      <c r="G5" s="61" t="s">
        <v>180</v>
      </c>
      <c r="H5" s="61" t="s">
        <v>182</v>
      </c>
      <c r="I5" s="45" t="s">
        <v>169</v>
      </c>
      <c r="J5" s="44" t="s">
        <v>170</v>
      </c>
      <c r="K5" s="44" t="s">
        <v>12</v>
      </c>
      <c r="L5" s="44" t="s">
        <v>107</v>
      </c>
      <c r="M5" s="44" t="s">
        <v>143</v>
      </c>
      <c r="N5" s="44" t="s">
        <v>13</v>
      </c>
      <c r="O5" s="44" t="s">
        <v>171</v>
      </c>
      <c r="P5" s="44" t="s">
        <v>16</v>
      </c>
      <c r="Q5" s="44" t="s">
        <v>17</v>
      </c>
      <c r="R5" s="44" t="s">
        <v>72</v>
      </c>
      <c r="S5" s="43" t="s">
        <v>8</v>
      </c>
      <c r="T5" s="43" t="s">
        <v>18</v>
      </c>
      <c r="U5" s="46" t="s">
        <v>73</v>
      </c>
    </row>
    <row r="6" spans="2:21" ht="15.75" thickTop="1" x14ac:dyDescent="0.25">
      <c r="B6" s="2" t="s">
        <v>19</v>
      </c>
      <c r="C6" s="2" t="s">
        <v>20</v>
      </c>
      <c r="D6" s="2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2:21" x14ac:dyDescent="0.25">
      <c r="B7" t="s">
        <v>21</v>
      </c>
      <c r="C7" s="11" t="s">
        <v>22</v>
      </c>
      <c r="D7" t="s">
        <v>25</v>
      </c>
      <c r="E7" s="15">
        <v>16954.95</v>
      </c>
      <c r="F7" s="29">
        <v>15</v>
      </c>
      <c r="G7" s="73">
        <v>2700</v>
      </c>
      <c r="H7" s="15"/>
      <c r="I7" s="15"/>
      <c r="J7" s="15"/>
      <c r="K7" s="15">
        <f>E7-I7</f>
        <v>16954.95</v>
      </c>
      <c r="L7" s="15">
        <v>0</v>
      </c>
      <c r="M7" s="15">
        <v>3246.93</v>
      </c>
      <c r="N7" s="15">
        <f>M7-L7</f>
        <v>3246.93</v>
      </c>
      <c r="O7" s="15">
        <v>0</v>
      </c>
      <c r="P7" s="15">
        <f>E7*0.115</f>
        <v>1949.8192500000002</v>
      </c>
      <c r="Q7" s="15">
        <f>SUM(N7:P7)+G7</f>
        <v>7896.7492499999998</v>
      </c>
      <c r="R7" s="74">
        <f>K7-Q7</f>
        <v>9058.20075</v>
      </c>
      <c r="S7" s="11">
        <v>328.67</v>
      </c>
      <c r="T7" s="11">
        <v>3390.99</v>
      </c>
      <c r="U7" s="35">
        <f>SUM(S7:T7)</f>
        <v>3719.66</v>
      </c>
    </row>
    <row r="8" spans="2:21" x14ac:dyDescent="0.25">
      <c r="B8" t="s">
        <v>23</v>
      </c>
      <c r="C8" s="11" t="s">
        <v>24</v>
      </c>
      <c r="D8" t="s">
        <v>3</v>
      </c>
      <c r="E8" s="15">
        <v>4850</v>
      </c>
      <c r="F8" s="29">
        <v>15</v>
      </c>
      <c r="G8" s="73">
        <v>809</v>
      </c>
      <c r="H8" s="15"/>
      <c r="I8" s="15"/>
      <c r="J8" s="15"/>
      <c r="K8" s="15">
        <f>E8-I8</f>
        <v>4850</v>
      </c>
      <c r="L8" s="15">
        <v>0</v>
      </c>
      <c r="M8" s="15">
        <v>491.69</v>
      </c>
      <c r="N8" s="15">
        <f>M8-L8</f>
        <v>491.69</v>
      </c>
      <c r="O8" s="15">
        <v>0</v>
      </c>
      <c r="P8" s="15">
        <f>E8*0.115</f>
        <v>557.75</v>
      </c>
      <c r="Q8" s="15">
        <f>SUM(N8:P8)+G8</f>
        <v>1858.44</v>
      </c>
      <c r="R8" s="74">
        <f>K8-Q8</f>
        <v>2991.56</v>
      </c>
      <c r="S8" s="11">
        <v>253.58</v>
      </c>
      <c r="T8" s="11">
        <v>970</v>
      </c>
      <c r="U8" s="35">
        <f t="shared" ref="U8" si="0">SUM(S8:T8)</f>
        <v>1223.58</v>
      </c>
    </row>
    <row r="9" spans="2:21" x14ac:dyDescent="0.25">
      <c r="B9" s="7" t="s">
        <v>26</v>
      </c>
      <c r="C9" s="30"/>
      <c r="D9" s="30"/>
      <c r="E9" s="34">
        <f>SUM(E7:E8)</f>
        <v>21804.95</v>
      </c>
      <c r="F9" s="34"/>
      <c r="G9" s="34">
        <f>+G8+G7</f>
        <v>3509</v>
      </c>
      <c r="H9" s="34"/>
      <c r="I9" s="34">
        <f t="shared" ref="I9:U9" si="1">SUM(I7:I8)</f>
        <v>0</v>
      </c>
      <c r="J9" s="34">
        <f t="shared" si="1"/>
        <v>0</v>
      </c>
      <c r="K9" s="34">
        <f t="shared" si="1"/>
        <v>21804.95</v>
      </c>
      <c r="L9" s="34">
        <f t="shared" si="1"/>
        <v>0</v>
      </c>
      <c r="M9" s="34">
        <f t="shared" si="1"/>
        <v>3738.62</v>
      </c>
      <c r="N9" s="34">
        <f t="shared" si="1"/>
        <v>3738.62</v>
      </c>
      <c r="O9" s="34">
        <f t="shared" si="1"/>
        <v>0</v>
      </c>
      <c r="P9" s="34">
        <f t="shared" si="1"/>
        <v>2507.5692500000005</v>
      </c>
      <c r="Q9" s="34">
        <f t="shared" si="1"/>
        <v>9755.1892499999994</v>
      </c>
      <c r="R9" s="34">
        <f t="shared" si="1"/>
        <v>12049.760749999999</v>
      </c>
      <c r="S9" s="34">
        <f t="shared" si="1"/>
        <v>582.25</v>
      </c>
      <c r="T9" s="34">
        <f t="shared" si="1"/>
        <v>4360.99</v>
      </c>
      <c r="U9" s="34">
        <f t="shared" si="1"/>
        <v>4943.24</v>
      </c>
    </row>
    <row r="10" spans="2:21" ht="10.5" hidden="1" customHeight="1" x14ac:dyDescent="0.25"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2:21" x14ac:dyDescent="0.25">
      <c r="B11" s="2" t="s">
        <v>27</v>
      </c>
      <c r="C11" s="2" t="s">
        <v>28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2:21" x14ac:dyDescent="0.25">
      <c r="B12" t="s">
        <v>32</v>
      </c>
      <c r="C12" s="11" t="s">
        <v>37</v>
      </c>
      <c r="D12" t="s">
        <v>1</v>
      </c>
      <c r="E12" s="15">
        <v>10000</v>
      </c>
      <c r="F12" s="29">
        <v>15</v>
      </c>
      <c r="G12" s="15"/>
      <c r="H12" s="15"/>
      <c r="I12" s="15"/>
      <c r="J12" s="15"/>
      <c r="K12" s="15">
        <f t="shared" ref="K12:K19" si="2">E12-I12</f>
        <v>10000</v>
      </c>
      <c r="L12" s="15">
        <v>0</v>
      </c>
      <c r="M12" s="15">
        <v>1581.44</v>
      </c>
      <c r="N12" s="15">
        <f>M12-L12</f>
        <v>1581.44</v>
      </c>
      <c r="O12" s="15">
        <v>0</v>
      </c>
      <c r="P12" s="15">
        <f t="shared" ref="P12:P19" si="3">E12*0.115</f>
        <v>1150</v>
      </c>
      <c r="Q12" s="15">
        <f>SUM(N12:P12)+G12</f>
        <v>2731.44</v>
      </c>
      <c r="R12" s="74">
        <f t="shared" ref="R12:R19" si="4">K12-Q12</f>
        <v>7268.5599999999995</v>
      </c>
      <c r="S12" s="11">
        <v>285.52999999999997</v>
      </c>
      <c r="T12" s="11">
        <v>2000</v>
      </c>
      <c r="U12" s="35">
        <f>S12+T12</f>
        <v>2285.5299999999997</v>
      </c>
    </row>
    <row r="13" spans="2:21" x14ac:dyDescent="0.25">
      <c r="B13" t="s">
        <v>33</v>
      </c>
      <c r="C13" s="11" t="s">
        <v>38</v>
      </c>
      <c r="D13" t="s">
        <v>74</v>
      </c>
      <c r="E13" s="15">
        <v>5350</v>
      </c>
      <c r="F13" s="29">
        <v>15</v>
      </c>
      <c r="G13" s="15"/>
      <c r="H13" s="15"/>
      <c r="I13" s="72">
        <v>1.7</v>
      </c>
      <c r="J13" s="19"/>
      <c r="K13" s="15">
        <f>E13-I13</f>
        <v>5348.3</v>
      </c>
      <c r="L13" s="15">
        <v>0</v>
      </c>
      <c r="M13" s="15">
        <v>586.75</v>
      </c>
      <c r="N13" s="15">
        <v>588.20000000000005</v>
      </c>
      <c r="O13" s="15">
        <v>0</v>
      </c>
      <c r="P13" s="15">
        <f t="shared" si="3"/>
        <v>615.25</v>
      </c>
      <c r="Q13" s="15">
        <f t="shared" ref="Q13:Q19" si="5">SUM(N13:P13)+G13</f>
        <v>1203.45</v>
      </c>
      <c r="R13" s="74">
        <f t="shared" si="4"/>
        <v>4144.8500000000004</v>
      </c>
      <c r="S13" s="11">
        <v>256.68</v>
      </c>
      <c r="T13" s="11">
        <v>1070</v>
      </c>
      <c r="U13" s="35">
        <f>S13+T13</f>
        <v>1326.68</v>
      </c>
    </row>
    <row r="14" spans="2:21" x14ac:dyDescent="0.25">
      <c r="B14" t="s">
        <v>34</v>
      </c>
      <c r="C14" s="11" t="s">
        <v>178</v>
      </c>
      <c r="D14" t="s">
        <v>179</v>
      </c>
      <c r="E14" s="15">
        <v>5350</v>
      </c>
      <c r="F14" s="29">
        <v>15</v>
      </c>
      <c r="G14" s="15"/>
      <c r="H14" s="20"/>
      <c r="I14" s="19"/>
      <c r="J14" s="19"/>
      <c r="K14" s="15">
        <f>+E14+H14</f>
        <v>5350</v>
      </c>
      <c r="L14" s="15">
        <v>0</v>
      </c>
      <c r="M14" s="15">
        <v>586.75</v>
      </c>
      <c r="N14" s="15">
        <v>588.20000000000005</v>
      </c>
      <c r="O14" s="15">
        <v>0</v>
      </c>
      <c r="P14" s="15"/>
      <c r="Q14" s="15">
        <f>SUM(N14:P14)+G14</f>
        <v>588.20000000000005</v>
      </c>
      <c r="R14" s="74">
        <f>K14-Q14</f>
        <v>4761.8</v>
      </c>
      <c r="S14" s="11">
        <v>256.68</v>
      </c>
      <c r="T14" s="11">
        <v>0</v>
      </c>
      <c r="U14" s="35">
        <f>S14+T14</f>
        <v>256.68</v>
      </c>
    </row>
    <row r="15" spans="2:21" x14ac:dyDescent="0.25">
      <c r="B15" t="s">
        <v>35</v>
      </c>
      <c r="C15" t="s">
        <v>111</v>
      </c>
      <c r="D15" t="s">
        <v>77</v>
      </c>
      <c r="E15" s="15">
        <v>6000</v>
      </c>
      <c r="F15" s="29">
        <v>15</v>
      </c>
      <c r="G15" s="15"/>
      <c r="H15" s="15"/>
      <c r="I15" s="15"/>
      <c r="J15" s="15"/>
      <c r="K15" s="15">
        <f t="shared" si="2"/>
        <v>6000</v>
      </c>
      <c r="L15" s="15">
        <v>0</v>
      </c>
      <c r="M15" s="15">
        <v>727.04</v>
      </c>
      <c r="N15" s="15">
        <f t="shared" ref="N15:N19" si="6">M15-L15</f>
        <v>727.04</v>
      </c>
      <c r="O15" s="15">
        <v>0</v>
      </c>
      <c r="P15" s="15">
        <f t="shared" si="3"/>
        <v>690</v>
      </c>
      <c r="Q15" s="15">
        <f t="shared" si="5"/>
        <v>1417.04</v>
      </c>
      <c r="R15" s="74">
        <f t="shared" si="4"/>
        <v>4582.96</v>
      </c>
      <c r="S15" s="11">
        <v>260.72000000000003</v>
      </c>
      <c r="T15" s="11">
        <v>1200</v>
      </c>
      <c r="U15" s="35">
        <f>S15+T15</f>
        <v>1460.72</v>
      </c>
    </row>
    <row r="16" spans="2:21" x14ac:dyDescent="0.25">
      <c r="B16" t="s">
        <v>36</v>
      </c>
      <c r="C16" t="s">
        <v>86</v>
      </c>
      <c r="D16" t="s">
        <v>39</v>
      </c>
      <c r="E16" s="15">
        <v>4500</v>
      </c>
      <c r="F16" s="29">
        <v>15</v>
      </c>
      <c r="G16" s="73">
        <v>750</v>
      </c>
      <c r="H16" s="15"/>
      <c r="I16" s="15"/>
      <c r="J16" s="15"/>
      <c r="K16" s="15">
        <f t="shared" si="2"/>
        <v>4500</v>
      </c>
      <c r="L16" s="15">
        <v>0</v>
      </c>
      <c r="M16" s="15">
        <v>428.97</v>
      </c>
      <c r="N16" s="15">
        <f t="shared" si="6"/>
        <v>428.97</v>
      </c>
      <c r="O16" s="15">
        <v>0</v>
      </c>
      <c r="P16" s="15">
        <f t="shared" si="3"/>
        <v>517.5</v>
      </c>
      <c r="Q16" s="15">
        <f t="shared" si="5"/>
        <v>1696.47</v>
      </c>
      <c r="R16" s="74">
        <f t="shared" si="4"/>
        <v>2803.5299999999997</v>
      </c>
      <c r="S16" s="11">
        <v>251.41</v>
      </c>
      <c r="T16" s="11">
        <v>900</v>
      </c>
      <c r="U16" s="35">
        <f>S16+T16</f>
        <v>1151.4100000000001</v>
      </c>
    </row>
    <row r="17" spans="2:21" x14ac:dyDescent="0.25">
      <c r="B17" t="s">
        <v>115</v>
      </c>
      <c r="C17" t="s">
        <v>87</v>
      </c>
      <c r="D17" t="s">
        <v>39</v>
      </c>
      <c r="E17" s="15">
        <v>4500</v>
      </c>
      <c r="F17" s="29">
        <v>15</v>
      </c>
      <c r="G17" s="73">
        <v>610</v>
      </c>
      <c r="H17" s="15"/>
      <c r="I17" s="15"/>
      <c r="J17" s="15"/>
      <c r="K17" s="15">
        <f t="shared" si="2"/>
        <v>4500</v>
      </c>
      <c r="L17" s="15">
        <v>0</v>
      </c>
      <c r="M17" s="15">
        <v>428.97</v>
      </c>
      <c r="N17" s="15">
        <v>428.97</v>
      </c>
      <c r="O17" s="15">
        <v>0</v>
      </c>
      <c r="P17" s="15">
        <f t="shared" si="3"/>
        <v>517.5</v>
      </c>
      <c r="Q17" s="15">
        <f t="shared" si="5"/>
        <v>1556.47</v>
      </c>
      <c r="R17" s="74">
        <f t="shared" si="4"/>
        <v>2943.5299999999997</v>
      </c>
      <c r="S17" s="11">
        <v>251.41</v>
      </c>
      <c r="T17" s="11">
        <v>900</v>
      </c>
      <c r="U17" s="35">
        <f t="shared" ref="U17:U19" si="7">S17+T17</f>
        <v>1151.4100000000001</v>
      </c>
    </row>
    <row r="18" spans="2:21" x14ac:dyDescent="0.25">
      <c r="B18" t="s">
        <v>116</v>
      </c>
      <c r="C18" t="s">
        <v>89</v>
      </c>
      <c r="D18" t="s">
        <v>4</v>
      </c>
      <c r="E18" s="15">
        <v>2700</v>
      </c>
      <c r="F18" s="29">
        <v>15</v>
      </c>
      <c r="G18" s="73">
        <v>450</v>
      </c>
      <c r="H18" s="15"/>
      <c r="I18" s="15"/>
      <c r="J18" s="15"/>
      <c r="K18" s="15">
        <f t="shared" si="2"/>
        <v>2700</v>
      </c>
      <c r="L18" s="15">
        <v>147.32</v>
      </c>
      <c r="M18" s="15">
        <v>188.33</v>
      </c>
      <c r="N18" s="15">
        <f t="shared" si="6"/>
        <v>41.010000000000019</v>
      </c>
      <c r="O18" s="15">
        <v>0</v>
      </c>
      <c r="P18" s="15">
        <f t="shared" si="3"/>
        <v>310.5</v>
      </c>
      <c r="Q18" s="15">
        <f t="shared" si="5"/>
        <v>801.51</v>
      </c>
      <c r="R18" s="74">
        <f t="shared" si="4"/>
        <v>1898.49</v>
      </c>
      <c r="S18" s="11">
        <v>240.25</v>
      </c>
      <c r="T18" s="11">
        <v>540</v>
      </c>
      <c r="U18" s="35">
        <f t="shared" si="7"/>
        <v>780.25</v>
      </c>
    </row>
    <row r="19" spans="2:21" x14ac:dyDescent="0.25">
      <c r="B19" t="s">
        <v>117</v>
      </c>
      <c r="C19" t="s">
        <v>88</v>
      </c>
      <c r="D19" t="s">
        <v>40</v>
      </c>
      <c r="E19" s="15">
        <v>3150</v>
      </c>
      <c r="F19" s="29">
        <v>15</v>
      </c>
      <c r="G19" s="73">
        <v>1029</v>
      </c>
      <c r="H19" s="15"/>
      <c r="I19" s="15"/>
      <c r="J19" s="15"/>
      <c r="K19" s="15">
        <f t="shared" si="2"/>
        <v>3150</v>
      </c>
      <c r="L19" s="15">
        <v>126.77</v>
      </c>
      <c r="M19" s="15">
        <v>237.29</v>
      </c>
      <c r="N19" s="15">
        <f t="shared" si="6"/>
        <v>110.52</v>
      </c>
      <c r="O19" s="15">
        <v>0</v>
      </c>
      <c r="P19" s="15">
        <f t="shared" si="3"/>
        <v>362.25</v>
      </c>
      <c r="Q19" s="15">
        <f t="shared" si="5"/>
        <v>1501.77</v>
      </c>
      <c r="R19" s="74">
        <f t="shared" si="4"/>
        <v>1648.23</v>
      </c>
      <c r="S19" s="11">
        <v>243.04</v>
      </c>
      <c r="T19" s="11">
        <v>630</v>
      </c>
      <c r="U19" s="35">
        <f t="shared" si="7"/>
        <v>873.04</v>
      </c>
    </row>
    <row r="20" spans="2:21" x14ac:dyDescent="0.25">
      <c r="B20" s="2" t="s">
        <v>26</v>
      </c>
      <c r="C20" s="30"/>
      <c r="D20" s="30"/>
      <c r="E20" s="34">
        <f>SUM(E12:E19)</f>
        <v>41550</v>
      </c>
      <c r="F20" s="34"/>
      <c r="G20" s="34">
        <f>+G19+G18+G17+G16</f>
        <v>2839</v>
      </c>
      <c r="H20" s="34"/>
      <c r="I20" s="34">
        <f t="shared" ref="I20:U20" si="8">SUM(I12:I19)</f>
        <v>1.7</v>
      </c>
      <c r="J20" s="34">
        <f t="shared" si="8"/>
        <v>0</v>
      </c>
      <c r="K20" s="34">
        <f t="shared" si="8"/>
        <v>41548.300000000003</v>
      </c>
      <c r="L20" s="34">
        <f t="shared" si="8"/>
        <v>274.08999999999997</v>
      </c>
      <c r="M20" s="34">
        <f t="shared" si="8"/>
        <v>4765.54</v>
      </c>
      <c r="N20" s="34">
        <f t="shared" si="8"/>
        <v>4494.3500000000013</v>
      </c>
      <c r="O20" s="34">
        <f t="shared" si="8"/>
        <v>0</v>
      </c>
      <c r="P20" s="34">
        <f t="shared" si="8"/>
        <v>4163</v>
      </c>
      <c r="Q20" s="34">
        <f t="shared" si="8"/>
        <v>11496.35</v>
      </c>
      <c r="R20" s="34">
        <f t="shared" si="8"/>
        <v>30051.949999999997</v>
      </c>
      <c r="S20" s="34">
        <f t="shared" si="8"/>
        <v>2045.7200000000003</v>
      </c>
      <c r="T20" s="34">
        <f t="shared" si="8"/>
        <v>7240</v>
      </c>
      <c r="U20" s="34">
        <f t="shared" si="8"/>
        <v>9285.7200000000012</v>
      </c>
    </row>
    <row r="21" spans="2:21" hidden="1" x14ac:dyDescent="0.25">
      <c r="B21" s="2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2:21" x14ac:dyDescent="0.25">
      <c r="B22" s="2" t="s">
        <v>50</v>
      </c>
      <c r="C22" s="2" t="s">
        <v>160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2:21" x14ac:dyDescent="0.25">
      <c r="B23" t="s">
        <v>119</v>
      </c>
      <c r="C23" t="s">
        <v>91</v>
      </c>
      <c r="D23" t="s">
        <v>76</v>
      </c>
      <c r="E23" s="15">
        <v>5350</v>
      </c>
      <c r="F23" s="29">
        <v>15</v>
      </c>
      <c r="G23" s="15"/>
      <c r="H23" s="15"/>
      <c r="I23" s="71"/>
      <c r="J23" s="15"/>
      <c r="K23" s="15">
        <f>E23-I23</f>
        <v>5350</v>
      </c>
      <c r="L23" s="15">
        <v>0</v>
      </c>
      <c r="M23" s="15">
        <v>453.47</v>
      </c>
      <c r="N23" s="15">
        <v>588.20000000000005</v>
      </c>
      <c r="O23" s="15">
        <v>0</v>
      </c>
      <c r="P23" s="15">
        <f>E23*0.115</f>
        <v>615.25</v>
      </c>
      <c r="Q23" s="15">
        <f>SUM(N23:P23)+G23</f>
        <v>1203.45</v>
      </c>
      <c r="R23" s="74">
        <f>K23-Q23</f>
        <v>4146.55</v>
      </c>
      <c r="S23" s="11">
        <v>256.68</v>
      </c>
      <c r="T23" s="11">
        <v>1070</v>
      </c>
      <c r="U23" s="35">
        <f>S23+T23</f>
        <v>1326.68</v>
      </c>
    </row>
    <row r="24" spans="2:21" x14ac:dyDescent="0.25">
      <c r="B24" t="s">
        <v>120</v>
      </c>
      <c r="C24" t="s">
        <v>93</v>
      </c>
      <c r="D24" t="s">
        <v>78</v>
      </c>
      <c r="E24" s="15">
        <v>5350</v>
      </c>
      <c r="F24" s="29">
        <v>15</v>
      </c>
      <c r="G24" s="15"/>
      <c r="H24" s="15"/>
      <c r="I24" s="71"/>
      <c r="J24" s="15"/>
      <c r="K24" s="15">
        <f>E24-I24</f>
        <v>5350</v>
      </c>
      <c r="L24" s="15">
        <v>0</v>
      </c>
      <c r="M24" s="15">
        <v>588.20000000000005</v>
      </c>
      <c r="N24" s="15">
        <f>M24-L24</f>
        <v>588.20000000000005</v>
      </c>
      <c r="O24" s="15">
        <v>0</v>
      </c>
      <c r="P24" s="15">
        <f>E24*0.115</f>
        <v>615.25</v>
      </c>
      <c r="Q24" s="15">
        <f>SUM(N24:P24)+G24</f>
        <v>1203.45</v>
      </c>
      <c r="R24" s="74">
        <f>K24-Q24</f>
        <v>4146.55</v>
      </c>
      <c r="S24" s="11">
        <v>256.68</v>
      </c>
      <c r="T24" s="11">
        <v>1070</v>
      </c>
      <c r="U24" s="35">
        <f>S24+T24</f>
        <v>1326.68</v>
      </c>
    </row>
    <row r="25" spans="2:21" x14ac:dyDescent="0.25">
      <c r="B25" t="s">
        <v>121</v>
      </c>
      <c r="C25" t="s">
        <v>114</v>
      </c>
      <c r="D25" t="s">
        <v>79</v>
      </c>
      <c r="E25" s="15">
        <v>5350</v>
      </c>
      <c r="F25" s="29">
        <v>15</v>
      </c>
      <c r="G25" s="15"/>
      <c r="H25" s="15"/>
      <c r="I25" s="15"/>
      <c r="J25" s="15"/>
      <c r="K25" s="15">
        <f>E25-I25</f>
        <v>5350</v>
      </c>
      <c r="L25" s="15">
        <v>0</v>
      </c>
      <c r="M25" s="15">
        <v>588.20000000000005</v>
      </c>
      <c r="N25" s="15">
        <f>M25-L25</f>
        <v>588.20000000000005</v>
      </c>
      <c r="O25" s="15">
        <v>0</v>
      </c>
      <c r="P25" s="15">
        <f>E25*0.115</f>
        <v>615.25</v>
      </c>
      <c r="Q25" s="15">
        <f>SUM(N25:P25)+G25</f>
        <v>1203.45</v>
      </c>
      <c r="R25" s="74">
        <f>K25-Q25</f>
        <v>4146.55</v>
      </c>
      <c r="S25" s="11">
        <v>256.68</v>
      </c>
      <c r="T25" s="11">
        <v>1070</v>
      </c>
      <c r="U25" s="35">
        <f>S25+T25</f>
        <v>1326.68</v>
      </c>
    </row>
    <row r="26" spans="2:21" x14ac:dyDescent="0.25">
      <c r="B26" s="2" t="s">
        <v>26</v>
      </c>
      <c r="C26" s="30"/>
      <c r="D26" s="30"/>
      <c r="E26" s="34">
        <f>SUM(E23:E25)</f>
        <v>16050</v>
      </c>
      <c r="F26" s="34"/>
      <c r="G26" s="34">
        <f>+G25+G24+G23</f>
        <v>0</v>
      </c>
      <c r="H26" s="34"/>
      <c r="I26" s="34">
        <f>SUM(I23:I25)</f>
        <v>0</v>
      </c>
      <c r="J26" s="34">
        <f>SUM(J23:J25)</f>
        <v>0</v>
      </c>
      <c r="K26" s="34">
        <f t="shared" ref="K26:U26" si="9">SUM(K23:K25)</f>
        <v>16050</v>
      </c>
      <c r="L26" s="34">
        <f t="shared" si="9"/>
        <v>0</v>
      </c>
      <c r="M26" s="34">
        <f t="shared" si="9"/>
        <v>1629.8700000000001</v>
      </c>
      <c r="N26" s="34">
        <f t="shared" si="9"/>
        <v>1764.6000000000001</v>
      </c>
      <c r="O26" s="34">
        <f t="shared" si="9"/>
        <v>0</v>
      </c>
      <c r="P26" s="34">
        <f t="shared" si="9"/>
        <v>1845.75</v>
      </c>
      <c r="Q26" s="34">
        <f t="shared" si="9"/>
        <v>3610.3500000000004</v>
      </c>
      <c r="R26" s="34">
        <f t="shared" si="9"/>
        <v>12439.650000000001</v>
      </c>
      <c r="S26" s="34">
        <f t="shared" si="9"/>
        <v>770.04</v>
      </c>
      <c r="T26" s="34">
        <f t="shared" si="9"/>
        <v>3210</v>
      </c>
      <c r="U26" s="34">
        <f t="shared" si="9"/>
        <v>3980.04</v>
      </c>
    </row>
    <row r="27" spans="2:21" hidden="1" x14ac:dyDescent="0.25"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2:21" x14ac:dyDescent="0.25">
      <c r="B28" s="2" t="s">
        <v>63</v>
      </c>
      <c r="C28" s="2" t="s">
        <v>51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2:21" x14ac:dyDescent="0.25">
      <c r="B29" t="s">
        <v>122</v>
      </c>
      <c r="C29" t="s">
        <v>97</v>
      </c>
      <c r="D29" t="s">
        <v>80</v>
      </c>
      <c r="E29" s="15">
        <v>5350</v>
      </c>
      <c r="F29" s="29">
        <v>15</v>
      </c>
      <c r="G29" s="15"/>
      <c r="H29" s="15"/>
      <c r="I29" s="15"/>
      <c r="J29" s="15"/>
      <c r="K29" s="15">
        <f t="shared" ref="K29:K39" si="10">E29-I29</f>
        <v>5350</v>
      </c>
      <c r="L29" s="15">
        <v>0</v>
      </c>
      <c r="M29" s="15">
        <v>588.20000000000005</v>
      </c>
      <c r="N29" s="15">
        <f>M29-L29</f>
        <v>588.20000000000005</v>
      </c>
      <c r="O29" s="15">
        <v>0</v>
      </c>
      <c r="P29" s="15">
        <f>E29*0.115</f>
        <v>615.25</v>
      </c>
      <c r="Q29" s="15">
        <f t="shared" ref="Q29:Q39" si="11">SUM(N29:P29)+G29</f>
        <v>1203.45</v>
      </c>
      <c r="R29" s="74">
        <f t="shared" ref="R29:R39" si="12">K29-Q29</f>
        <v>4146.55</v>
      </c>
      <c r="S29" s="11">
        <v>256.68</v>
      </c>
      <c r="T29" s="11">
        <v>1070</v>
      </c>
      <c r="U29" s="35">
        <f t="shared" ref="U29:U39" si="13">S29+T29</f>
        <v>1326.68</v>
      </c>
    </row>
    <row r="30" spans="2:21" x14ac:dyDescent="0.25">
      <c r="B30" t="s">
        <v>123</v>
      </c>
      <c r="C30" t="s">
        <v>100</v>
      </c>
      <c r="D30" t="s">
        <v>80</v>
      </c>
      <c r="E30" s="15">
        <v>5350</v>
      </c>
      <c r="F30" s="29">
        <v>15</v>
      </c>
      <c r="G30" s="15"/>
      <c r="H30" s="15"/>
      <c r="I30" s="72">
        <v>3.4</v>
      </c>
      <c r="J30" s="20"/>
      <c r="K30" s="20">
        <f t="shared" si="10"/>
        <v>5346.6</v>
      </c>
      <c r="L30" s="20">
        <v>0</v>
      </c>
      <c r="M30" s="20">
        <v>587.48</v>
      </c>
      <c r="N30" s="20">
        <v>588.20000000000005</v>
      </c>
      <c r="O30" s="15">
        <v>0</v>
      </c>
      <c r="P30" s="15">
        <f t="shared" ref="P30:P39" si="14">E30*0.115</f>
        <v>615.25</v>
      </c>
      <c r="Q30" s="15">
        <f t="shared" si="11"/>
        <v>1203.45</v>
      </c>
      <c r="R30" s="74">
        <f t="shared" si="12"/>
        <v>4143.1500000000005</v>
      </c>
      <c r="S30" s="11">
        <v>256.68</v>
      </c>
      <c r="T30" s="11">
        <v>1070</v>
      </c>
      <c r="U30" s="35">
        <f t="shared" si="13"/>
        <v>1326.68</v>
      </c>
    </row>
    <row r="31" spans="2:21" x14ac:dyDescent="0.25">
      <c r="B31" t="s">
        <v>124</v>
      </c>
      <c r="C31" t="s">
        <v>96</v>
      </c>
      <c r="D31" t="s">
        <v>78</v>
      </c>
      <c r="E31" s="15">
        <v>5350</v>
      </c>
      <c r="F31" s="29">
        <v>15</v>
      </c>
      <c r="G31" s="15"/>
      <c r="H31" s="15"/>
      <c r="I31" s="20"/>
      <c r="J31" s="20"/>
      <c r="K31" s="20">
        <f t="shared" si="10"/>
        <v>5350</v>
      </c>
      <c r="L31" s="20">
        <v>0</v>
      </c>
      <c r="M31" s="20">
        <v>588.20000000000005</v>
      </c>
      <c r="N31" s="20">
        <f t="shared" ref="N31:N39" si="15">M31-L31</f>
        <v>588.20000000000005</v>
      </c>
      <c r="O31" s="15">
        <v>0</v>
      </c>
      <c r="P31" s="15">
        <f t="shared" si="14"/>
        <v>615.25</v>
      </c>
      <c r="Q31" s="15">
        <f t="shared" si="11"/>
        <v>1203.45</v>
      </c>
      <c r="R31" s="74">
        <f t="shared" si="12"/>
        <v>4146.55</v>
      </c>
      <c r="S31" s="11">
        <v>256.68</v>
      </c>
      <c r="T31" s="11">
        <v>1070</v>
      </c>
      <c r="U31" s="35">
        <f t="shared" si="13"/>
        <v>1326.68</v>
      </c>
    </row>
    <row r="32" spans="2:21" x14ac:dyDescent="0.25">
      <c r="B32" t="s">
        <v>125</v>
      </c>
      <c r="C32" t="s">
        <v>104</v>
      </c>
      <c r="D32" t="s">
        <v>78</v>
      </c>
      <c r="E32" s="15">
        <v>5350</v>
      </c>
      <c r="F32" s="29">
        <v>15</v>
      </c>
      <c r="G32" s="15"/>
      <c r="H32" s="15"/>
      <c r="I32" s="20"/>
      <c r="J32" s="20"/>
      <c r="K32" s="20">
        <f t="shared" si="10"/>
        <v>5350</v>
      </c>
      <c r="L32" s="20">
        <v>0</v>
      </c>
      <c r="M32" s="20">
        <v>588.20000000000005</v>
      </c>
      <c r="N32" s="20">
        <f t="shared" si="15"/>
        <v>588.20000000000005</v>
      </c>
      <c r="O32" s="15">
        <v>0</v>
      </c>
      <c r="P32" s="15">
        <f t="shared" si="14"/>
        <v>615.25</v>
      </c>
      <c r="Q32" s="15">
        <f t="shared" si="11"/>
        <v>1203.45</v>
      </c>
      <c r="R32" s="74">
        <f t="shared" si="12"/>
        <v>4146.55</v>
      </c>
      <c r="S32" s="11">
        <v>256.68</v>
      </c>
      <c r="T32" s="11">
        <v>1070</v>
      </c>
      <c r="U32" s="35">
        <f t="shared" si="13"/>
        <v>1326.68</v>
      </c>
    </row>
    <row r="33" spans="2:21" x14ac:dyDescent="0.25">
      <c r="B33" t="s">
        <v>126</v>
      </c>
      <c r="C33" t="s">
        <v>94</v>
      </c>
      <c r="D33" t="s">
        <v>81</v>
      </c>
      <c r="E33" s="15">
        <v>5350</v>
      </c>
      <c r="F33" s="29">
        <v>15</v>
      </c>
      <c r="G33" s="73">
        <v>595</v>
      </c>
      <c r="H33" s="15"/>
      <c r="I33" s="72">
        <v>1.7</v>
      </c>
      <c r="J33" s="20"/>
      <c r="K33" s="20">
        <f>E33-I33</f>
        <v>5348.3</v>
      </c>
      <c r="L33" s="20">
        <v>0</v>
      </c>
      <c r="M33" s="20">
        <v>517.23</v>
      </c>
      <c r="N33" s="20">
        <v>588.02</v>
      </c>
      <c r="O33" s="15">
        <v>0</v>
      </c>
      <c r="P33" s="15">
        <f t="shared" si="14"/>
        <v>615.25</v>
      </c>
      <c r="Q33" s="15">
        <f t="shared" si="11"/>
        <v>1798.27</v>
      </c>
      <c r="R33" s="74">
        <f>K33-Q33</f>
        <v>3550.03</v>
      </c>
      <c r="S33" s="11">
        <v>256.68</v>
      </c>
      <c r="T33" s="11">
        <v>1070</v>
      </c>
      <c r="U33" s="35">
        <f t="shared" si="13"/>
        <v>1326.68</v>
      </c>
    </row>
    <row r="34" spans="2:21" x14ac:dyDescent="0.25">
      <c r="B34" t="s">
        <v>127</v>
      </c>
      <c r="C34" t="s">
        <v>98</v>
      </c>
      <c r="D34" t="s">
        <v>81</v>
      </c>
      <c r="E34" s="15">
        <v>5350</v>
      </c>
      <c r="F34" s="29">
        <v>15</v>
      </c>
      <c r="G34" s="15"/>
      <c r="H34" s="20"/>
      <c r="I34" s="72">
        <v>12.74</v>
      </c>
      <c r="J34" s="20"/>
      <c r="K34" s="20">
        <f>E34-I34</f>
        <v>5337.26</v>
      </c>
      <c r="L34" s="20">
        <v>0</v>
      </c>
      <c r="M34" s="20">
        <v>588.20000000000005</v>
      </c>
      <c r="N34" s="20">
        <f t="shared" si="15"/>
        <v>588.20000000000005</v>
      </c>
      <c r="O34" s="15">
        <v>0</v>
      </c>
      <c r="P34" s="15">
        <f>E34*0.115</f>
        <v>615.25</v>
      </c>
      <c r="Q34" s="15">
        <f>SUM(N34:P34)+G34</f>
        <v>1203.45</v>
      </c>
      <c r="R34" s="74">
        <f>K34-Q34</f>
        <v>4133.8100000000004</v>
      </c>
      <c r="S34" s="11">
        <v>256.68</v>
      </c>
      <c r="T34" s="11">
        <v>1070</v>
      </c>
      <c r="U34" s="35">
        <f t="shared" si="13"/>
        <v>1326.68</v>
      </c>
    </row>
    <row r="35" spans="2:21" x14ac:dyDescent="0.25">
      <c r="B35" t="s">
        <v>128</v>
      </c>
      <c r="C35" t="s">
        <v>101</v>
      </c>
      <c r="D35" t="s">
        <v>81</v>
      </c>
      <c r="E35" s="15">
        <v>5350</v>
      </c>
      <c r="F35" s="29">
        <v>15</v>
      </c>
      <c r="G35" s="15"/>
      <c r="H35" s="15"/>
      <c r="I35" s="71"/>
      <c r="J35" s="20"/>
      <c r="K35" s="20">
        <f>E35-I35</f>
        <v>5350</v>
      </c>
      <c r="L35" s="20">
        <v>0</v>
      </c>
      <c r="M35" s="15">
        <v>588.20000000000005</v>
      </c>
      <c r="N35" s="15">
        <f>M35-L35</f>
        <v>588.20000000000005</v>
      </c>
      <c r="O35" s="15">
        <v>0</v>
      </c>
      <c r="P35" s="15">
        <f t="shared" si="14"/>
        <v>615.25</v>
      </c>
      <c r="Q35" s="15">
        <f>SUM(N35:P35)+G35</f>
        <v>1203.45</v>
      </c>
      <c r="R35" s="74">
        <f>K35-Q35</f>
        <v>4146.55</v>
      </c>
      <c r="S35" s="11">
        <v>256.68</v>
      </c>
      <c r="T35" s="11">
        <v>1070</v>
      </c>
      <c r="U35" s="35">
        <f t="shared" si="13"/>
        <v>1326.68</v>
      </c>
    </row>
    <row r="36" spans="2:21" x14ac:dyDescent="0.25">
      <c r="B36" t="s">
        <v>129</v>
      </c>
      <c r="C36" t="s">
        <v>95</v>
      </c>
      <c r="D36" t="s">
        <v>82</v>
      </c>
      <c r="E36" s="15">
        <v>5350</v>
      </c>
      <c r="F36" s="29">
        <v>15</v>
      </c>
      <c r="G36" s="73">
        <v>1190</v>
      </c>
      <c r="H36" s="15"/>
      <c r="I36" s="15"/>
      <c r="J36" s="15"/>
      <c r="K36" s="15">
        <f t="shared" si="10"/>
        <v>5350</v>
      </c>
      <c r="L36" s="15">
        <v>0</v>
      </c>
      <c r="M36" s="15">
        <v>588.20000000000005</v>
      </c>
      <c r="N36" s="15">
        <f t="shared" si="15"/>
        <v>588.20000000000005</v>
      </c>
      <c r="O36" s="15">
        <v>0</v>
      </c>
      <c r="P36" s="15">
        <f t="shared" si="14"/>
        <v>615.25</v>
      </c>
      <c r="Q36" s="15">
        <f t="shared" si="11"/>
        <v>2393.4499999999998</v>
      </c>
      <c r="R36" s="74">
        <f t="shared" si="12"/>
        <v>2956.55</v>
      </c>
      <c r="S36" s="11">
        <v>256.68</v>
      </c>
      <c r="T36" s="11">
        <v>1070</v>
      </c>
      <c r="U36" s="35">
        <f t="shared" si="13"/>
        <v>1326.68</v>
      </c>
    </row>
    <row r="37" spans="2:21" x14ac:dyDescent="0.25">
      <c r="B37" t="s">
        <v>130</v>
      </c>
      <c r="C37" t="s">
        <v>102</v>
      </c>
      <c r="D37" t="s">
        <v>82</v>
      </c>
      <c r="E37" s="15">
        <v>5350</v>
      </c>
      <c r="F37" s="29">
        <v>15</v>
      </c>
      <c r="G37" s="73">
        <v>927.62</v>
      </c>
      <c r="H37" s="15"/>
      <c r="I37" s="15"/>
      <c r="J37" s="15"/>
      <c r="K37" s="15">
        <f t="shared" si="10"/>
        <v>5350</v>
      </c>
      <c r="L37" s="15">
        <v>0</v>
      </c>
      <c r="M37" s="15">
        <v>586.03</v>
      </c>
      <c r="N37" s="15">
        <v>588.20000000000005</v>
      </c>
      <c r="O37" s="15">
        <v>0</v>
      </c>
      <c r="P37" s="15">
        <f t="shared" si="14"/>
        <v>615.25</v>
      </c>
      <c r="Q37" s="15">
        <f>SUM(N37:P37)+G37</f>
        <v>2131.0700000000002</v>
      </c>
      <c r="R37" s="74">
        <f t="shared" si="12"/>
        <v>3218.93</v>
      </c>
      <c r="S37" s="11">
        <v>256.68</v>
      </c>
      <c r="T37" s="11">
        <v>1070</v>
      </c>
      <c r="U37" s="35">
        <f t="shared" si="13"/>
        <v>1326.68</v>
      </c>
    </row>
    <row r="38" spans="2:21" x14ac:dyDescent="0.25">
      <c r="B38" t="s">
        <v>131</v>
      </c>
      <c r="C38" t="s">
        <v>85</v>
      </c>
      <c r="D38" t="s">
        <v>83</v>
      </c>
      <c r="E38" s="15">
        <v>5350</v>
      </c>
      <c r="F38" s="29">
        <v>15</v>
      </c>
      <c r="G38" s="73">
        <v>1784</v>
      </c>
      <c r="H38" s="15"/>
      <c r="I38" s="15"/>
      <c r="J38" s="15"/>
      <c r="K38" s="15">
        <f t="shared" si="10"/>
        <v>5350</v>
      </c>
      <c r="L38" s="15">
        <v>0</v>
      </c>
      <c r="M38" s="15">
        <v>588.20000000000005</v>
      </c>
      <c r="N38" s="15">
        <f t="shared" si="15"/>
        <v>588.20000000000005</v>
      </c>
      <c r="O38" s="15">
        <v>0</v>
      </c>
      <c r="P38" s="15">
        <f t="shared" si="14"/>
        <v>615.25</v>
      </c>
      <c r="Q38" s="15">
        <f t="shared" si="11"/>
        <v>2987.45</v>
      </c>
      <c r="R38" s="74">
        <f t="shared" si="12"/>
        <v>2362.5500000000002</v>
      </c>
      <c r="S38" s="11">
        <v>256.68</v>
      </c>
      <c r="T38" s="11">
        <v>1070</v>
      </c>
      <c r="U38" s="35">
        <f t="shared" si="13"/>
        <v>1326.68</v>
      </c>
    </row>
    <row r="39" spans="2:21" x14ac:dyDescent="0.25">
      <c r="B39" t="s">
        <v>132</v>
      </c>
      <c r="C39" t="s">
        <v>103</v>
      </c>
      <c r="D39" t="s">
        <v>83</v>
      </c>
      <c r="E39" s="15">
        <v>5350</v>
      </c>
      <c r="F39" s="29">
        <v>15</v>
      </c>
      <c r="G39" s="73">
        <v>1900</v>
      </c>
      <c r="H39" s="15"/>
      <c r="I39" s="15"/>
      <c r="J39" s="15"/>
      <c r="K39" s="15">
        <f t="shared" si="10"/>
        <v>5350</v>
      </c>
      <c r="L39" s="15">
        <v>0</v>
      </c>
      <c r="M39" s="15">
        <v>588.20000000000005</v>
      </c>
      <c r="N39" s="15">
        <f t="shared" si="15"/>
        <v>588.20000000000005</v>
      </c>
      <c r="O39" s="15">
        <v>0</v>
      </c>
      <c r="P39" s="15">
        <f t="shared" si="14"/>
        <v>615.25</v>
      </c>
      <c r="Q39" s="15">
        <f t="shared" si="11"/>
        <v>3103.45</v>
      </c>
      <c r="R39" s="74">
        <f t="shared" si="12"/>
        <v>2246.5500000000002</v>
      </c>
      <c r="S39" s="11">
        <v>256.68</v>
      </c>
      <c r="T39" s="11">
        <v>1070</v>
      </c>
      <c r="U39" s="35">
        <f t="shared" si="13"/>
        <v>1326.68</v>
      </c>
    </row>
    <row r="40" spans="2:21" x14ac:dyDescent="0.25">
      <c r="B40" s="2" t="s">
        <v>26</v>
      </c>
      <c r="C40" s="30"/>
      <c r="D40" s="30"/>
      <c r="E40" s="34">
        <f>SUM(E29:E39)</f>
        <v>58850</v>
      </c>
      <c r="F40" s="34"/>
      <c r="G40" s="34">
        <f>+G39+G38+G37+G36+G35+G34+G33</f>
        <v>6396.62</v>
      </c>
      <c r="H40" s="34"/>
      <c r="I40" s="34">
        <f>SUM(I29:I39)</f>
        <v>17.84</v>
      </c>
      <c r="J40" s="34">
        <f>SUM(J29:J39)</f>
        <v>0</v>
      </c>
      <c r="K40" s="34">
        <f>SUM(K29:K39)</f>
        <v>58832.159999999996</v>
      </c>
      <c r="L40" s="34">
        <f t="shared" ref="L40:U40" si="16">SUM(L29:L39)</f>
        <v>0</v>
      </c>
      <c r="M40" s="34">
        <f t="shared" si="16"/>
        <v>6396.3399999999992</v>
      </c>
      <c r="N40" s="34">
        <f t="shared" si="16"/>
        <v>6470.0199999999995</v>
      </c>
      <c r="O40" s="34">
        <f t="shared" si="16"/>
        <v>0</v>
      </c>
      <c r="P40" s="34">
        <f t="shared" si="16"/>
        <v>6767.75</v>
      </c>
      <c r="Q40" s="34">
        <f t="shared" si="16"/>
        <v>19634.39</v>
      </c>
      <c r="R40" s="34">
        <f t="shared" si="16"/>
        <v>39197.770000000004</v>
      </c>
      <c r="S40" s="34">
        <f t="shared" si="16"/>
        <v>2823.4799999999996</v>
      </c>
      <c r="T40" s="34">
        <f t="shared" si="16"/>
        <v>11770</v>
      </c>
      <c r="U40" s="34">
        <f t="shared" si="16"/>
        <v>14593.480000000001</v>
      </c>
    </row>
    <row r="41" spans="2:21" hidden="1" x14ac:dyDescent="0.25"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2:21" x14ac:dyDescent="0.25">
      <c r="B42" s="2" t="s">
        <v>140</v>
      </c>
      <c r="C42" s="2" t="s">
        <v>64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2:21" x14ac:dyDescent="0.25">
      <c r="B43" t="s">
        <v>133</v>
      </c>
      <c r="C43" t="s">
        <v>99</v>
      </c>
      <c r="D43" t="s">
        <v>80</v>
      </c>
      <c r="E43" s="15">
        <v>5350</v>
      </c>
      <c r="F43" s="29">
        <v>15</v>
      </c>
      <c r="G43" s="15"/>
      <c r="H43" s="15"/>
      <c r="I43" s="72">
        <v>29.73</v>
      </c>
      <c r="J43" s="20"/>
      <c r="K43" s="20">
        <f>E43-I43</f>
        <v>5320.27</v>
      </c>
      <c r="L43" s="20">
        <v>0</v>
      </c>
      <c r="M43" s="20">
        <v>586.21</v>
      </c>
      <c r="N43" s="20">
        <v>588.20000000000005</v>
      </c>
      <c r="O43" s="15">
        <v>0</v>
      </c>
      <c r="P43" s="15">
        <f t="shared" ref="P43" si="17">E43*0.115</f>
        <v>615.25</v>
      </c>
      <c r="Q43" s="15">
        <f>SUM(N43:P43)+G43</f>
        <v>1203.45</v>
      </c>
      <c r="R43" s="74">
        <f>K43-Q43</f>
        <v>4116.8200000000006</v>
      </c>
      <c r="S43" s="11">
        <v>256.68</v>
      </c>
      <c r="T43" s="11">
        <v>1070</v>
      </c>
      <c r="U43" s="35">
        <f t="shared" ref="U43:U44" si="18">S43+T43</f>
        <v>1326.68</v>
      </c>
    </row>
    <row r="44" spans="2:21" x14ac:dyDescent="0.25">
      <c r="B44" t="s">
        <v>152</v>
      </c>
      <c r="C44" t="s">
        <v>92</v>
      </c>
      <c r="D44" t="s">
        <v>80</v>
      </c>
      <c r="E44" s="15">
        <v>5350</v>
      </c>
      <c r="F44" s="29">
        <v>15</v>
      </c>
      <c r="G44" s="15"/>
      <c r="H44" s="15"/>
      <c r="I44" s="15"/>
      <c r="J44" s="15"/>
      <c r="K44" s="15">
        <f>E44-I44</f>
        <v>5350</v>
      </c>
      <c r="L44" s="15">
        <v>0</v>
      </c>
      <c r="M44" s="15">
        <v>588.20000000000005</v>
      </c>
      <c r="N44" s="15">
        <v>588.20000000000005</v>
      </c>
      <c r="O44" s="15">
        <v>0</v>
      </c>
      <c r="P44" s="15">
        <f>K44*0.115</f>
        <v>615.25</v>
      </c>
      <c r="Q44" s="15">
        <f>SUM(N44:P44)+G44</f>
        <v>1203.45</v>
      </c>
      <c r="R44" s="74">
        <f>K44-Q44</f>
        <v>4146.55</v>
      </c>
      <c r="S44" s="11">
        <v>256.68</v>
      </c>
      <c r="T44" s="11">
        <v>1070</v>
      </c>
      <c r="U44" s="35">
        <f t="shared" si="18"/>
        <v>1326.68</v>
      </c>
    </row>
    <row r="45" spans="2:21" x14ac:dyDescent="0.25">
      <c r="B45" s="2" t="s">
        <v>26</v>
      </c>
      <c r="C45" s="30"/>
      <c r="D45" s="30"/>
      <c r="E45" s="34">
        <f>E43+E44</f>
        <v>10700</v>
      </c>
      <c r="F45" s="34"/>
      <c r="G45" s="34">
        <f>+G44+G43</f>
        <v>0</v>
      </c>
      <c r="H45" s="34"/>
      <c r="I45" s="34">
        <f>I43+I44</f>
        <v>29.73</v>
      </c>
      <c r="J45" s="34">
        <f>J43+J44</f>
        <v>0</v>
      </c>
      <c r="K45" s="34">
        <f t="shared" ref="K45:U45" si="19">K43+K44</f>
        <v>10670.27</v>
      </c>
      <c r="L45" s="34">
        <f t="shared" si="19"/>
        <v>0</v>
      </c>
      <c r="M45" s="34">
        <f t="shared" si="19"/>
        <v>1174.4100000000001</v>
      </c>
      <c r="N45" s="34">
        <f t="shared" si="19"/>
        <v>1176.4000000000001</v>
      </c>
      <c r="O45" s="34">
        <f t="shared" si="19"/>
        <v>0</v>
      </c>
      <c r="P45" s="34">
        <f t="shared" si="19"/>
        <v>1230.5</v>
      </c>
      <c r="Q45" s="34">
        <f t="shared" si="19"/>
        <v>2406.9</v>
      </c>
      <c r="R45" s="34">
        <f t="shared" si="19"/>
        <v>8263.3700000000008</v>
      </c>
      <c r="S45" s="34">
        <f t="shared" si="19"/>
        <v>513.36</v>
      </c>
      <c r="T45" s="34">
        <f t="shared" si="19"/>
        <v>2140</v>
      </c>
      <c r="U45" s="34">
        <f t="shared" si="19"/>
        <v>2653.36</v>
      </c>
    </row>
    <row r="46" spans="2:21" hidden="1" x14ac:dyDescent="0.25">
      <c r="B46" s="2"/>
      <c r="E46" s="15"/>
      <c r="F46" s="15"/>
      <c r="G46" s="15"/>
      <c r="H46" s="15"/>
      <c r="I46" s="15"/>
      <c r="J46" s="15"/>
      <c r="K46" s="16"/>
      <c r="L46" s="16"/>
      <c r="M46" s="16"/>
      <c r="N46" s="16"/>
      <c r="O46" s="16"/>
      <c r="P46" s="16"/>
      <c r="Q46" s="16"/>
      <c r="R46" s="16"/>
      <c r="S46" s="8"/>
      <c r="T46" s="8"/>
      <c r="U46" s="8"/>
    </row>
    <row r="47" spans="2:21" x14ac:dyDescent="0.25">
      <c r="B47" s="2" t="s">
        <v>161</v>
      </c>
      <c r="C47" s="2" t="s">
        <v>162</v>
      </c>
      <c r="E47" s="15"/>
      <c r="F47" s="15"/>
      <c r="G47" s="15"/>
      <c r="H47" s="15"/>
      <c r="I47" s="15"/>
      <c r="J47" s="15"/>
      <c r="K47" s="16"/>
      <c r="L47" s="16"/>
      <c r="M47" s="16"/>
      <c r="N47" s="16"/>
      <c r="O47" s="16"/>
      <c r="P47" s="16"/>
      <c r="Q47" s="16"/>
      <c r="R47" s="16"/>
      <c r="S47" s="8"/>
      <c r="T47" s="8"/>
      <c r="U47" s="8"/>
    </row>
    <row r="48" spans="2:21" x14ac:dyDescent="0.25">
      <c r="B48" t="s">
        <v>163</v>
      </c>
      <c r="C48" s="11" t="s">
        <v>42</v>
      </c>
      <c r="D48" t="s">
        <v>2</v>
      </c>
      <c r="E48" s="15">
        <v>10000</v>
      </c>
      <c r="F48" s="29">
        <v>15</v>
      </c>
      <c r="G48" s="15"/>
      <c r="H48" s="15"/>
      <c r="I48" s="15"/>
      <c r="J48" s="15"/>
      <c r="K48" s="15">
        <f>E48-I48</f>
        <v>10000</v>
      </c>
      <c r="L48" s="15">
        <v>0</v>
      </c>
      <c r="M48" s="15">
        <v>1581.44</v>
      </c>
      <c r="N48" s="15">
        <f>M48-L48</f>
        <v>1581.44</v>
      </c>
      <c r="O48" s="15">
        <v>0</v>
      </c>
      <c r="P48" s="15">
        <f>E48*0.115</f>
        <v>1150</v>
      </c>
      <c r="Q48" s="15">
        <f>SUM(N48:P48)+G48</f>
        <v>2731.44</v>
      </c>
      <c r="R48" s="74">
        <f>K48-Q48</f>
        <v>7268.5599999999995</v>
      </c>
      <c r="S48" s="11">
        <v>285.52999999999997</v>
      </c>
      <c r="T48" s="11">
        <v>2000</v>
      </c>
      <c r="U48" s="35">
        <f>S48+T48</f>
        <v>2285.5299999999997</v>
      </c>
    </row>
    <row r="49" spans="2:21" x14ac:dyDescent="0.25">
      <c r="B49" s="2" t="s">
        <v>26</v>
      </c>
      <c r="E49" s="34">
        <f>E48</f>
        <v>10000</v>
      </c>
      <c r="F49" s="34"/>
      <c r="G49" s="34">
        <f>+G48</f>
        <v>0</v>
      </c>
      <c r="H49" s="34"/>
      <c r="I49" s="34">
        <f>I48</f>
        <v>0</v>
      </c>
      <c r="J49" s="34">
        <f>J48</f>
        <v>0</v>
      </c>
      <c r="K49" s="34">
        <f t="shared" ref="K49:U49" si="20">K48</f>
        <v>10000</v>
      </c>
      <c r="L49" s="34">
        <f t="shared" si="20"/>
        <v>0</v>
      </c>
      <c r="M49" s="34">
        <f t="shared" si="20"/>
        <v>1581.44</v>
      </c>
      <c r="N49" s="34">
        <f t="shared" si="20"/>
        <v>1581.44</v>
      </c>
      <c r="O49" s="34">
        <f t="shared" si="20"/>
        <v>0</v>
      </c>
      <c r="P49" s="34">
        <f t="shared" si="20"/>
        <v>1150</v>
      </c>
      <c r="Q49" s="34">
        <f t="shared" si="20"/>
        <v>2731.44</v>
      </c>
      <c r="R49" s="34">
        <f t="shared" si="20"/>
        <v>7268.5599999999995</v>
      </c>
      <c r="S49" s="34">
        <f t="shared" si="20"/>
        <v>285.52999999999997</v>
      </c>
      <c r="T49" s="34">
        <f t="shared" si="20"/>
        <v>2000</v>
      </c>
      <c r="U49" s="34">
        <f t="shared" si="20"/>
        <v>2285.5299999999997</v>
      </c>
    </row>
    <row r="50" spans="2:21" ht="12" customHeight="1" x14ac:dyDescent="0.25">
      <c r="B50" s="2"/>
      <c r="E50" s="15"/>
      <c r="F50" s="15"/>
      <c r="G50" s="15"/>
      <c r="H50" s="15"/>
      <c r="I50" s="15"/>
      <c r="J50" s="15"/>
      <c r="K50" s="16"/>
      <c r="L50" s="16"/>
      <c r="M50" s="16"/>
      <c r="N50" s="16"/>
      <c r="O50" s="16"/>
      <c r="P50" s="16"/>
      <c r="Q50" s="16"/>
      <c r="R50" s="16"/>
      <c r="S50" s="8"/>
      <c r="T50" s="8"/>
      <c r="U50" s="8"/>
    </row>
    <row r="51" spans="2:21" hidden="1" x14ac:dyDescent="0.25"/>
    <row r="52" spans="2:21" ht="18.75" x14ac:dyDescent="0.3">
      <c r="C52" s="53" t="s">
        <v>105</v>
      </c>
      <c r="E52" s="17">
        <f>E9+E20+E26+E40+E45+E49</f>
        <v>158954.95000000001</v>
      </c>
      <c r="F52" s="17"/>
      <c r="G52" s="17">
        <f>G9+G20+G26+G40+G45+G49</f>
        <v>12744.619999999999</v>
      </c>
      <c r="H52" s="17"/>
      <c r="I52" s="17">
        <f>I9+I20+I26+I40+I45+I49</f>
        <v>49.269999999999996</v>
      </c>
      <c r="J52" s="17">
        <f t="shared" ref="J52:U52" si="21">J9+J20+J26+J40+J45+J49</f>
        <v>0</v>
      </c>
      <c r="K52" s="17">
        <f>K9+K20+K26+K40+K45+K49</f>
        <v>158905.68</v>
      </c>
      <c r="L52" s="17">
        <f t="shared" si="21"/>
        <v>274.08999999999997</v>
      </c>
      <c r="M52" s="17">
        <f t="shared" si="21"/>
        <v>19286.219999999998</v>
      </c>
      <c r="N52" s="17">
        <f t="shared" si="21"/>
        <v>19225.43</v>
      </c>
      <c r="O52" s="17">
        <f t="shared" si="21"/>
        <v>0</v>
      </c>
      <c r="P52" s="17">
        <f t="shared" si="21"/>
        <v>17664.56925</v>
      </c>
      <c r="Q52" s="17">
        <f t="shared" si="21"/>
        <v>49634.619250000003</v>
      </c>
      <c r="R52" s="54">
        <f>R9+R20+R26+R40+R45+R49</f>
        <v>109271.06075</v>
      </c>
      <c r="S52" s="17">
        <f>S9+S20+S26+S40+S45+S49</f>
        <v>7020.3799999999992</v>
      </c>
      <c r="T52" s="17">
        <f>T9+T20+T26+T40+T45+T49</f>
        <v>30720.989999999998</v>
      </c>
      <c r="U52" s="55">
        <f t="shared" si="21"/>
        <v>37741.370000000003</v>
      </c>
    </row>
    <row r="55" spans="2:21" ht="15.75" thickBot="1" x14ac:dyDescent="0.3">
      <c r="E55" s="375"/>
      <c r="F55" s="375"/>
      <c r="G55" s="68"/>
      <c r="H55" s="68"/>
      <c r="P55" s="376"/>
      <c r="Q55" s="376"/>
    </row>
    <row r="56" spans="2:21" x14ac:dyDescent="0.25">
      <c r="E56" s="377" t="s">
        <v>177</v>
      </c>
      <c r="F56" s="377"/>
      <c r="G56" s="69"/>
      <c r="H56" s="69"/>
      <c r="P56" s="26"/>
      <c r="Q56" s="26"/>
      <c r="R56" s="378" t="s">
        <v>157</v>
      </c>
      <c r="S56" s="378"/>
    </row>
    <row r="60" spans="2:21" x14ac:dyDescent="0.25">
      <c r="C60" t="s">
        <v>174</v>
      </c>
    </row>
  </sheetData>
  <mergeCells count="5">
    <mergeCell ref="B4:U4"/>
    <mergeCell ref="E55:F55"/>
    <mergeCell ref="P55:Q55"/>
    <mergeCell ref="E56:F56"/>
    <mergeCell ref="R56:S56"/>
  </mergeCells>
  <pageMargins left="0.51181102362204722" right="0.51181102362204722" top="0.15748031496062992" bottom="0.35433070866141736" header="0.31496062992125984" footer="0.31496062992125984"/>
  <pageSetup scale="42" fitToHeight="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U60"/>
  <sheetViews>
    <sheetView topLeftCell="C23" zoomScale="85" zoomScaleNormal="85" workbookViewId="0">
      <selection activeCell="S48" sqref="S48"/>
    </sheetView>
  </sheetViews>
  <sheetFormatPr baseColWidth="10" defaultRowHeight="15" x14ac:dyDescent="0.25"/>
  <cols>
    <col min="1" max="1" width="0.7109375" customWidth="1"/>
    <col min="2" max="2" width="17.140625" customWidth="1"/>
    <col min="3" max="3" width="34.140625" customWidth="1"/>
    <col min="4" max="4" width="28" customWidth="1"/>
    <col min="5" max="5" width="18.42578125" customWidth="1"/>
    <col min="6" max="6" width="12.7109375" customWidth="1"/>
    <col min="7" max="7" width="12.28515625" customWidth="1"/>
    <col min="8" max="8" width="14.140625" customWidth="1"/>
    <col min="9" max="9" width="13.85546875" customWidth="1"/>
    <col min="10" max="10" width="0" hidden="1" customWidth="1"/>
    <col min="11" max="11" width="14.42578125" customWidth="1"/>
    <col min="12" max="12" width="9.42578125" customWidth="1"/>
    <col min="13" max="13" width="14.42578125" customWidth="1"/>
    <col min="14" max="14" width="12.7109375" customWidth="1"/>
    <col min="15" max="15" width="11.42578125" hidden="1" customWidth="1"/>
    <col min="16" max="16" width="12.85546875" customWidth="1"/>
    <col min="17" max="17" width="16.5703125" customWidth="1"/>
    <col min="18" max="18" width="18.28515625" customWidth="1"/>
    <col min="19" max="19" width="16.140625" customWidth="1"/>
    <col min="20" max="20" width="14.85546875" customWidth="1"/>
    <col min="21" max="21" width="17" customWidth="1"/>
  </cols>
  <sheetData>
    <row r="3" spans="2:21" x14ac:dyDescent="0.25"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2:21" ht="16.5" customHeight="1" x14ac:dyDescent="0.25">
      <c r="B4" s="372" t="s">
        <v>185</v>
      </c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</row>
    <row r="5" spans="2:21" s="56" customFormat="1" ht="39.75" customHeight="1" thickBot="1" x14ac:dyDescent="0.3">
      <c r="B5" s="42" t="s">
        <v>9</v>
      </c>
      <c r="C5" s="43" t="s">
        <v>10</v>
      </c>
      <c r="D5" s="43" t="s">
        <v>0</v>
      </c>
      <c r="E5" s="44" t="s">
        <v>11</v>
      </c>
      <c r="F5" s="44" t="s">
        <v>150</v>
      </c>
      <c r="G5" s="61" t="s">
        <v>180</v>
      </c>
      <c r="H5" s="61" t="s">
        <v>182</v>
      </c>
      <c r="I5" s="45" t="s">
        <v>169</v>
      </c>
      <c r="J5" s="44" t="s">
        <v>170</v>
      </c>
      <c r="K5" s="44" t="s">
        <v>12</v>
      </c>
      <c r="L5" s="44" t="s">
        <v>107</v>
      </c>
      <c r="M5" s="44" t="s">
        <v>143</v>
      </c>
      <c r="N5" s="44" t="s">
        <v>13</v>
      </c>
      <c r="O5" s="44" t="s">
        <v>171</v>
      </c>
      <c r="P5" s="44" t="s">
        <v>16</v>
      </c>
      <c r="Q5" s="44" t="s">
        <v>17</v>
      </c>
      <c r="R5" s="44" t="s">
        <v>72</v>
      </c>
      <c r="S5" s="43" t="s">
        <v>8</v>
      </c>
      <c r="T5" s="43" t="s">
        <v>18</v>
      </c>
      <c r="U5" s="46" t="s">
        <v>73</v>
      </c>
    </row>
    <row r="6" spans="2:21" ht="15.75" thickTop="1" x14ac:dyDescent="0.25">
      <c r="B6" s="2" t="s">
        <v>19</v>
      </c>
      <c r="C6" s="2" t="s">
        <v>20</v>
      </c>
      <c r="D6" s="2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2:21" x14ac:dyDescent="0.25">
      <c r="B7" t="s">
        <v>21</v>
      </c>
      <c r="C7" s="11" t="s">
        <v>22</v>
      </c>
      <c r="D7" t="s">
        <v>25</v>
      </c>
      <c r="E7" s="15">
        <v>16954.95</v>
      </c>
      <c r="F7" s="29">
        <v>15</v>
      </c>
      <c r="G7" s="73">
        <v>2700</v>
      </c>
      <c r="H7" s="15"/>
      <c r="I7" s="15"/>
      <c r="J7" s="15"/>
      <c r="K7" s="15">
        <f>E7-I7</f>
        <v>16954.95</v>
      </c>
      <c r="L7" s="15">
        <v>0</v>
      </c>
      <c r="M7" s="15">
        <v>3246.93</v>
      </c>
      <c r="N7" s="15">
        <f>M7-L7</f>
        <v>3246.93</v>
      </c>
      <c r="O7" s="15">
        <v>0</v>
      </c>
      <c r="P7" s="20">
        <f>E7*0.115</f>
        <v>1949.8192500000002</v>
      </c>
      <c r="Q7" s="15">
        <f>SUM(N7:P7)+G7</f>
        <v>7896.7492499999998</v>
      </c>
      <c r="R7" s="74">
        <f>K7-Q7</f>
        <v>9058.20075</v>
      </c>
      <c r="S7" s="11">
        <v>328.67</v>
      </c>
      <c r="T7" s="11">
        <v>3390.99</v>
      </c>
      <c r="U7" s="35">
        <f>SUM(S7:T7)</f>
        <v>3719.66</v>
      </c>
    </row>
    <row r="8" spans="2:21" x14ac:dyDescent="0.25">
      <c r="B8" t="s">
        <v>23</v>
      </c>
      <c r="C8" s="11" t="s">
        <v>24</v>
      </c>
      <c r="D8" t="s">
        <v>3</v>
      </c>
      <c r="E8" s="15">
        <v>4850</v>
      </c>
      <c r="F8" s="29">
        <v>15</v>
      </c>
      <c r="G8" s="73">
        <v>809</v>
      </c>
      <c r="H8" s="15"/>
      <c r="I8" s="15"/>
      <c r="J8" s="15"/>
      <c r="K8" s="15">
        <f>E8-I8</f>
        <v>4850</v>
      </c>
      <c r="L8" s="15">
        <v>0</v>
      </c>
      <c r="M8" s="15">
        <v>491.69</v>
      </c>
      <c r="N8" s="15">
        <f>M8-L8</f>
        <v>491.69</v>
      </c>
      <c r="O8" s="15">
        <v>0</v>
      </c>
      <c r="P8" s="20">
        <f>E8*0.115</f>
        <v>557.75</v>
      </c>
      <c r="Q8" s="15">
        <f>SUM(N8:P8)+G8</f>
        <v>1858.44</v>
      </c>
      <c r="R8" s="74">
        <f>K8-Q8</f>
        <v>2991.56</v>
      </c>
      <c r="S8" s="11">
        <v>253.58</v>
      </c>
      <c r="T8" s="11">
        <v>970</v>
      </c>
      <c r="U8" s="35">
        <f t="shared" ref="U8" si="0">SUM(S8:T8)</f>
        <v>1223.58</v>
      </c>
    </row>
    <row r="9" spans="2:21" x14ac:dyDescent="0.25">
      <c r="B9" s="7" t="s">
        <v>26</v>
      </c>
      <c r="C9" s="30"/>
      <c r="D9" s="30"/>
      <c r="E9" s="34">
        <f>SUM(E7:E8)</f>
        <v>21804.95</v>
      </c>
      <c r="F9" s="34"/>
      <c r="G9" s="34">
        <f>+G8+G7</f>
        <v>3509</v>
      </c>
      <c r="H9" s="34"/>
      <c r="I9" s="34">
        <f t="shared" ref="I9:U9" si="1">SUM(I7:I8)</f>
        <v>0</v>
      </c>
      <c r="J9" s="34">
        <f t="shared" si="1"/>
        <v>0</v>
      </c>
      <c r="K9" s="34">
        <f t="shared" si="1"/>
        <v>21804.95</v>
      </c>
      <c r="L9" s="34">
        <f t="shared" si="1"/>
        <v>0</v>
      </c>
      <c r="M9" s="34">
        <f t="shared" si="1"/>
        <v>3738.62</v>
      </c>
      <c r="N9" s="34">
        <f t="shared" si="1"/>
        <v>3738.62</v>
      </c>
      <c r="O9" s="34">
        <f t="shared" si="1"/>
        <v>0</v>
      </c>
      <c r="P9" s="34">
        <f>SUM(P7:P8)</f>
        <v>2507.5692500000005</v>
      </c>
      <c r="Q9" s="34">
        <f t="shared" si="1"/>
        <v>9755.1892499999994</v>
      </c>
      <c r="R9" s="34">
        <f t="shared" si="1"/>
        <v>12049.760749999999</v>
      </c>
      <c r="S9" s="34">
        <f t="shared" si="1"/>
        <v>582.25</v>
      </c>
      <c r="T9" s="34">
        <f t="shared" si="1"/>
        <v>4360.99</v>
      </c>
      <c r="U9" s="34">
        <f t="shared" si="1"/>
        <v>4943.24</v>
      </c>
    </row>
    <row r="10" spans="2:21" ht="10.5" hidden="1" customHeight="1" x14ac:dyDescent="0.25"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2:21" x14ac:dyDescent="0.25">
      <c r="B11" s="2" t="s">
        <v>27</v>
      </c>
      <c r="C11" s="2" t="s">
        <v>28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2:21" x14ac:dyDescent="0.25">
      <c r="B12" t="s">
        <v>32</v>
      </c>
      <c r="C12" s="11" t="s">
        <v>37</v>
      </c>
      <c r="D12" t="s">
        <v>1</v>
      </c>
      <c r="E12" s="15">
        <v>10000</v>
      </c>
      <c r="F12" s="29">
        <v>15</v>
      </c>
      <c r="G12" s="73">
        <v>3334</v>
      </c>
      <c r="H12" s="15"/>
      <c r="I12" s="15"/>
      <c r="J12" s="15"/>
      <c r="K12" s="15">
        <f t="shared" ref="K12:K19" si="2">E12-I12</f>
        <v>10000</v>
      </c>
      <c r="L12" s="15">
        <v>0</v>
      </c>
      <c r="M12" s="15">
        <v>1581.44</v>
      </c>
      <c r="N12" s="15">
        <f>M12-L12</f>
        <v>1581.44</v>
      </c>
      <c r="O12" s="15">
        <v>0</v>
      </c>
      <c r="P12" s="15">
        <f t="shared" ref="P12:P19" si="3">E12*0.115</f>
        <v>1150</v>
      </c>
      <c r="Q12" s="15">
        <f>SUM(N12:P12)+G12</f>
        <v>6065.4400000000005</v>
      </c>
      <c r="R12" s="74">
        <f t="shared" ref="R12:R19" si="4">K12-Q12</f>
        <v>3934.5599999999995</v>
      </c>
      <c r="S12" s="11">
        <v>285.52999999999997</v>
      </c>
      <c r="T12" s="11">
        <v>2000</v>
      </c>
      <c r="U12" s="35">
        <f>S12+T12</f>
        <v>2285.5299999999997</v>
      </c>
    </row>
    <row r="13" spans="2:21" x14ac:dyDescent="0.25">
      <c r="B13" t="s">
        <v>33</v>
      </c>
      <c r="C13" s="11" t="s">
        <v>38</v>
      </c>
      <c r="D13" t="s">
        <v>74</v>
      </c>
      <c r="E13" s="15">
        <v>5350</v>
      </c>
      <c r="F13" s="29">
        <v>15</v>
      </c>
      <c r="G13" s="15"/>
      <c r="H13" s="15"/>
      <c r="I13" s="77"/>
      <c r="J13" s="19"/>
      <c r="K13" s="15">
        <f>E13-I13</f>
        <v>5350</v>
      </c>
      <c r="L13" s="15">
        <v>0</v>
      </c>
      <c r="M13" s="15">
        <v>586.75</v>
      </c>
      <c r="N13" s="15">
        <v>588.20000000000005</v>
      </c>
      <c r="O13" s="15">
        <v>0</v>
      </c>
      <c r="P13" s="15">
        <f t="shared" si="3"/>
        <v>615.25</v>
      </c>
      <c r="Q13" s="15">
        <f t="shared" ref="Q13:Q19" si="5">SUM(N13:P13)+G13</f>
        <v>1203.45</v>
      </c>
      <c r="R13" s="74">
        <f t="shared" si="4"/>
        <v>4146.55</v>
      </c>
      <c r="S13" s="11">
        <v>256.68</v>
      </c>
      <c r="T13" s="11">
        <v>1070</v>
      </c>
      <c r="U13" s="35">
        <f>S13+T13</f>
        <v>1326.68</v>
      </c>
    </row>
    <row r="14" spans="2:21" x14ac:dyDescent="0.25">
      <c r="B14" t="s">
        <v>34</v>
      </c>
      <c r="C14" s="11" t="s">
        <v>178</v>
      </c>
      <c r="D14" t="s">
        <v>179</v>
      </c>
      <c r="E14" s="15">
        <v>5350</v>
      </c>
      <c r="F14" s="29">
        <v>15</v>
      </c>
      <c r="G14" s="15"/>
      <c r="H14" s="20"/>
      <c r="I14" s="19"/>
      <c r="J14" s="19"/>
      <c r="K14" s="15">
        <f>+E14+H14</f>
        <v>5350</v>
      </c>
      <c r="L14" s="15">
        <v>0</v>
      </c>
      <c r="M14" s="15">
        <v>586.75</v>
      </c>
      <c r="N14" s="15">
        <v>588.20000000000005</v>
      </c>
      <c r="O14" s="15">
        <v>0</v>
      </c>
      <c r="P14" s="15"/>
      <c r="Q14" s="15">
        <f>SUM(N14:P14)+G14</f>
        <v>588.20000000000005</v>
      </c>
      <c r="R14" s="74">
        <f>K14-Q14</f>
        <v>4761.8</v>
      </c>
      <c r="S14" s="11">
        <v>256.68</v>
      </c>
      <c r="T14" s="11">
        <v>0</v>
      </c>
      <c r="U14" s="35">
        <f>S14+T14</f>
        <v>256.68</v>
      </c>
    </row>
    <row r="15" spans="2:21" x14ac:dyDescent="0.25">
      <c r="B15" t="s">
        <v>35</v>
      </c>
      <c r="C15" t="s">
        <v>111</v>
      </c>
      <c r="D15" t="s">
        <v>77</v>
      </c>
      <c r="E15" s="15">
        <v>6000</v>
      </c>
      <c r="F15" s="29">
        <v>15</v>
      </c>
      <c r="G15" s="15"/>
      <c r="H15" s="15"/>
      <c r="I15" s="15"/>
      <c r="J15" s="15"/>
      <c r="K15" s="15">
        <f t="shared" si="2"/>
        <v>6000</v>
      </c>
      <c r="L15" s="15">
        <v>0</v>
      </c>
      <c r="M15" s="15">
        <v>727.04</v>
      </c>
      <c r="N15" s="15">
        <f t="shared" ref="N15:N19" si="6">M15-L15</f>
        <v>727.04</v>
      </c>
      <c r="O15" s="15">
        <v>0</v>
      </c>
      <c r="P15" s="15">
        <f t="shared" si="3"/>
        <v>690</v>
      </c>
      <c r="Q15" s="15">
        <f t="shared" si="5"/>
        <v>1417.04</v>
      </c>
      <c r="R15" s="74">
        <f t="shared" si="4"/>
        <v>4582.96</v>
      </c>
      <c r="S15" s="11">
        <v>260.72000000000003</v>
      </c>
      <c r="T15" s="11">
        <v>1200</v>
      </c>
      <c r="U15" s="35">
        <f>S15+T15</f>
        <v>1460.72</v>
      </c>
    </row>
    <row r="16" spans="2:21" x14ac:dyDescent="0.25">
      <c r="B16" t="s">
        <v>36</v>
      </c>
      <c r="C16" t="s">
        <v>86</v>
      </c>
      <c r="D16" t="s">
        <v>39</v>
      </c>
      <c r="E16" s="15">
        <v>4500</v>
      </c>
      <c r="F16" s="29">
        <v>15</v>
      </c>
      <c r="G16" s="73">
        <v>750</v>
      </c>
      <c r="H16" s="15"/>
      <c r="I16" s="15"/>
      <c r="J16" s="15"/>
      <c r="K16" s="15">
        <f t="shared" si="2"/>
        <v>4500</v>
      </c>
      <c r="L16" s="15">
        <v>0</v>
      </c>
      <c r="M16" s="15">
        <v>428.97</v>
      </c>
      <c r="N16" s="15">
        <f t="shared" si="6"/>
        <v>428.97</v>
      </c>
      <c r="O16" s="15">
        <v>0</v>
      </c>
      <c r="P16" s="15">
        <f t="shared" si="3"/>
        <v>517.5</v>
      </c>
      <c r="Q16" s="15">
        <f t="shared" si="5"/>
        <v>1696.47</v>
      </c>
      <c r="R16" s="74">
        <f t="shared" si="4"/>
        <v>2803.5299999999997</v>
      </c>
      <c r="S16" s="11">
        <v>251.41</v>
      </c>
      <c r="T16" s="11">
        <v>900</v>
      </c>
      <c r="U16" s="35">
        <f>S16+T16</f>
        <v>1151.4100000000001</v>
      </c>
    </row>
    <row r="17" spans="2:21" x14ac:dyDescent="0.25">
      <c r="B17" t="s">
        <v>115</v>
      </c>
      <c r="C17" t="s">
        <v>87</v>
      </c>
      <c r="D17" t="s">
        <v>39</v>
      </c>
      <c r="E17" s="15">
        <v>4500</v>
      </c>
      <c r="F17" s="29">
        <v>15</v>
      </c>
      <c r="G17" s="73">
        <v>610</v>
      </c>
      <c r="H17" s="15"/>
      <c r="I17" s="15"/>
      <c r="J17" s="15"/>
      <c r="K17" s="15">
        <f t="shared" si="2"/>
        <v>4500</v>
      </c>
      <c r="L17" s="15">
        <v>0</v>
      </c>
      <c r="M17" s="15">
        <v>428.97</v>
      </c>
      <c r="N17" s="15">
        <v>428.97</v>
      </c>
      <c r="O17" s="15">
        <v>0</v>
      </c>
      <c r="P17" s="15">
        <f t="shared" si="3"/>
        <v>517.5</v>
      </c>
      <c r="Q17" s="15">
        <f t="shared" si="5"/>
        <v>1556.47</v>
      </c>
      <c r="R17" s="74">
        <f t="shared" si="4"/>
        <v>2943.5299999999997</v>
      </c>
      <c r="S17" s="11">
        <v>251.41</v>
      </c>
      <c r="T17" s="11">
        <v>900</v>
      </c>
      <c r="U17" s="35">
        <f t="shared" ref="U17:U19" si="7">S17+T17</f>
        <v>1151.4100000000001</v>
      </c>
    </row>
    <row r="18" spans="2:21" x14ac:dyDescent="0.25">
      <c r="B18" t="s">
        <v>116</v>
      </c>
      <c r="C18" t="s">
        <v>89</v>
      </c>
      <c r="D18" t="s">
        <v>4</v>
      </c>
      <c r="E18" s="15">
        <v>2700</v>
      </c>
      <c r="F18" s="29">
        <v>15</v>
      </c>
      <c r="G18" s="73">
        <v>450</v>
      </c>
      <c r="H18" s="15"/>
      <c r="I18" s="15"/>
      <c r="J18" s="15"/>
      <c r="K18" s="15">
        <f t="shared" si="2"/>
        <v>2700</v>
      </c>
      <c r="L18" s="15">
        <v>147.32</v>
      </c>
      <c r="M18" s="15">
        <v>188.33</v>
      </c>
      <c r="N18" s="15">
        <f t="shared" si="6"/>
        <v>41.010000000000019</v>
      </c>
      <c r="O18" s="15">
        <v>0</v>
      </c>
      <c r="P18" s="20">
        <f t="shared" si="3"/>
        <v>310.5</v>
      </c>
      <c r="Q18" s="15">
        <f t="shared" si="5"/>
        <v>801.51</v>
      </c>
      <c r="R18" s="74">
        <f t="shared" si="4"/>
        <v>1898.49</v>
      </c>
      <c r="S18" s="11">
        <v>240.25</v>
      </c>
      <c r="T18" s="11">
        <v>540</v>
      </c>
      <c r="U18" s="35">
        <f t="shared" si="7"/>
        <v>780.25</v>
      </c>
    </row>
    <row r="19" spans="2:21" x14ac:dyDescent="0.25">
      <c r="B19" t="s">
        <v>117</v>
      </c>
      <c r="C19" t="s">
        <v>88</v>
      </c>
      <c r="D19" t="s">
        <v>40</v>
      </c>
      <c r="E19" s="15">
        <v>3150</v>
      </c>
      <c r="F19" s="29">
        <v>15</v>
      </c>
      <c r="G19" s="73">
        <v>1029</v>
      </c>
      <c r="H19" s="15"/>
      <c r="I19" s="15"/>
      <c r="J19" s="15"/>
      <c r="K19" s="15">
        <f t="shared" si="2"/>
        <v>3150</v>
      </c>
      <c r="L19" s="15">
        <v>126.77</v>
      </c>
      <c r="M19" s="15">
        <v>237.29</v>
      </c>
      <c r="N19" s="15">
        <f t="shared" si="6"/>
        <v>110.52</v>
      </c>
      <c r="O19" s="15">
        <v>0</v>
      </c>
      <c r="P19" s="20">
        <f t="shared" si="3"/>
        <v>362.25</v>
      </c>
      <c r="Q19" s="15">
        <f t="shared" si="5"/>
        <v>1501.77</v>
      </c>
      <c r="R19" s="74">
        <f t="shared" si="4"/>
        <v>1648.23</v>
      </c>
      <c r="S19" s="11">
        <v>243.04</v>
      </c>
      <c r="T19" s="11">
        <v>630</v>
      </c>
      <c r="U19" s="35">
        <f t="shared" si="7"/>
        <v>873.04</v>
      </c>
    </row>
    <row r="20" spans="2:21" x14ac:dyDescent="0.25">
      <c r="B20" s="2" t="s">
        <v>26</v>
      </c>
      <c r="C20" s="30"/>
      <c r="D20" s="30"/>
      <c r="E20" s="34">
        <f>SUM(E12:E19)</f>
        <v>41550</v>
      </c>
      <c r="F20" s="34"/>
      <c r="G20" s="34">
        <f>+G19+G18+G17+G16+G12</f>
        <v>6173</v>
      </c>
      <c r="H20" s="34"/>
      <c r="I20" s="34">
        <f t="shared" ref="I20:U20" si="8">SUM(I12:I19)</f>
        <v>0</v>
      </c>
      <c r="J20" s="34">
        <f t="shared" si="8"/>
        <v>0</v>
      </c>
      <c r="K20" s="34">
        <f t="shared" si="8"/>
        <v>41550</v>
      </c>
      <c r="L20" s="34">
        <f t="shared" si="8"/>
        <v>274.08999999999997</v>
      </c>
      <c r="M20" s="34">
        <f t="shared" si="8"/>
        <v>4765.54</v>
      </c>
      <c r="N20" s="34">
        <f t="shared" si="8"/>
        <v>4494.3500000000013</v>
      </c>
      <c r="O20" s="34">
        <f t="shared" si="8"/>
        <v>0</v>
      </c>
      <c r="P20" s="34">
        <f>SUM(P12:P19)</f>
        <v>4163</v>
      </c>
      <c r="Q20" s="34">
        <f t="shared" si="8"/>
        <v>14830.35</v>
      </c>
      <c r="R20" s="34">
        <f t="shared" si="8"/>
        <v>26719.649999999998</v>
      </c>
      <c r="S20" s="34">
        <f t="shared" si="8"/>
        <v>2045.7200000000003</v>
      </c>
      <c r="T20" s="34">
        <f t="shared" si="8"/>
        <v>7240</v>
      </c>
      <c r="U20" s="34">
        <f t="shared" si="8"/>
        <v>9285.7200000000012</v>
      </c>
    </row>
    <row r="21" spans="2:21" hidden="1" x14ac:dyDescent="0.25">
      <c r="B21" s="2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2:21" x14ac:dyDescent="0.25">
      <c r="B22" s="2" t="s">
        <v>50</v>
      </c>
      <c r="C22" s="2" t="s">
        <v>160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2:21" x14ac:dyDescent="0.25">
      <c r="B23" t="s">
        <v>119</v>
      </c>
      <c r="C23" t="s">
        <v>91</v>
      </c>
      <c r="D23" t="s">
        <v>76</v>
      </c>
      <c r="E23" s="15">
        <v>5350</v>
      </c>
      <c r="F23" s="29">
        <v>15</v>
      </c>
      <c r="G23" s="15"/>
      <c r="H23" s="15"/>
      <c r="I23" s="71"/>
      <c r="J23" s="15"/>
      <c r="K23" s="15">
        <f>E23-I23</f>
        <v>5350</v>
      </c>
      <c r="L23" s="15">
        <v>0</v>
      </c>
      <c r="M23" s="15">
        <v>453.47</v>
      </c>
      <c r="N23" s="15">
        <v>588.20000000000005</v>
      </c>
      <c r="O23" s="15">
        <v>0</v>
      </c>
      <c r="P23" s="20">
        <f>E23*0.115</f>
        <v>615.25</v>
      </c>
      <c r="Q23" s="15">
        <f>SUM(N23:P23)+G23</f>
        <v>1203.45</v>
      </c>
      <c r="R23" s="74">
        <f>K23-Q23</f>
        <v>4146.55</v>
      </c>
      <c r="S23" s="11">
        <v>256.68</v>
      </c>
      <c r="T23" s="11">
        <v>1070</v>
      </c>
      <c r="U23" s="35">
        <f>S23+T23</f>
        <v>1326.68</v>
      </c>
    </row>
    <row r="24" spans="2:21" x14ac:dyDescent="0.25">
      <c r="B24" t="s">
        <v>120</v>
      </c>
      <c r="C24" t="s">
        <v>93</v>
      </c>
      <c r="D24" t="s">
        <v>78</v>
      </c>
      <c r="E24" s="15">
        <v>5350</v>
      </c>
      <c r="F24" s="29">
        <v>15</v>
      </c>
      <c r="G24" s="15"/>
      <c r="H24" s="15"/>
      <c r="I24" s="71"/>
      <c r="J24" s="15"/>
      <c r="K24" s="15">
        <f>E24-I24</f>
        <v>5350</v>
      </c>
      <c r="L24" s="15">
        <v>0</v>
      </c>
      <c r="M24" s="15">
        <v>588.20000000000005</v>
      </c>
      <c r="N24" s="15">
        <f>M24-L24</f>
        <v>588.20000000000005</v>
      </c>
      <c r="O24" s="15">
        <v>0</v>
      </c>
      <c r="P24" s="20">
        <f>E24*0.115</f>
        <v>615.25</v>
      </c>
      <c r="Q24" s="15">
        <f>SUM(N24:P24)+G24</f>
        <v>1203.45</v>
      </c>
      <c r="R24" s="74">
        <f>K24-Q24</f>
        <v>4146.55</v>
      </c>
      <c r="S24" s="11">
        <v>256.68</v>
      </c>
      <c r="T24" s="11">
        <v>1070</v>
      </c>
      <c r="U24" s="35">
        <f>S24+T24</f>
        <v>1326.68</v>
      </c>
    </row>
    <row r="25" spans="2:21" x14ac:dyDescent="0.25">
      <c r="B25" t="s">
        <v>121</v>
      </c>
      <c r="C25" t="s">
        <v>114</v>
      </c>
      <c r="D25" t="s">
        <v>79</v>
      </c>
      <c r="E25" s="15">
        <v>5350</v>
      </c>
      <c r="F25" s="29">
        <v>15</v>
      </c>
      <c r="G25" s="15"/>
      <c r="H25" s="15"/>
      <c r="I25" s="15"/>
      <c r="J25" s="15"/>
      <c r="K25" s="15">
        <f>E25-I25</f>
        <v>5350</v>
      </c>
      <c r="L25" s="15">
        <v>0</v>
      </c>
      <c r="M25" s="15">
        <v>588.20000000000005</v>
      </c>
      <c r="N25" s="15">
        <f>M25-L25</f>
        <v>588.20000000000005</v>
      </c>
      <c r="O25" s="15">
        <v>0</v>
      </c>
      <c r="P25" s="20">
        <f>E25*0.115</f>
        <v>615.25</v>
      </c>
      <c r="Q25" s="15">
        <f>SUM(N25:P25)+G25</f>
        <v>1203.45</v>
      </c>
      <c r="R25" s="74">
        <f>K25-Q25</f>
        <v>4146.55</v>
      </c>
      <c r="S25" s="11">
        <v>256.68</v>
      </c>
      <c r="T25" s="11">
        <v>1070</v>
      </c>
      <c r="U25" s="35">
        <f>S25+T25</f>
        <v>1326.68</v>
      </c>
    </row>
    <row r="26" spans="2:21" x14ac:dyDescent="0.25">
      <c r="B26" s="2" t="s">
        <v>26</v>
      </c>
      <c r="C26" s="30"/>
      <c r="D26" s="30"/>
      <c r="E26" s="34">
        <f>SUM(E23:E25)</f>
        <v>16050</v>
      </c>
      <c r="F26" s="34"/>
      <c r="G26" s="34">
        <f>+G25+G24+G23</f>
        <v>0</v>
      </c>
      <c r="H26" s="34"/>
      <c r="I26" s="34">
        <f>SUM(I23:I25)</f>
        <v>0</v>
      </c>
      <c r="J26" s="34">
        <f>SUM(J23:J25)</f>
        <v>0</v>
      </c>
      <c r="K26" s="34">
        <f t="shared" ref="K26:U26" si="9">SUM(K23:K25)</f>
        <v>16050</v>
      </c>
      <c r="L26" s="34">
        <f t="shared" si="9"/>
        <v>0</v>
      </c>
      <c r="M26" s="34">
        <f t="shared" si="9"/>
        <v>1629.8700000000001</v>
      </c>
      <c r="N26" s="34">
        <f t="shared" si="9"/>
        <v>1764.6000000000001</v>
      </c>
      <c r="O26" s="34">
        <f t="shared" si="9"/>
        <v>0</v>
      </c>
      <c r="P26" s="34">
        <f>SUM(P23:P25)</f>
        <v>1845.75</v>
      </c>
      <c r="Q26" s="34">
        <f t="shared" si="9"/>
        <v>3610.3500000000004</v>
      </c>
      <c r="R26" s="34">
        <f t="shared" si="9"/>
        <v>12439.650000000001</v>
      </c>
      <c r="S26" s="34">
        <f t="shared" si="9"/>
        <v>770.04</v>
      </c>
      <c r="T26" s="34">
        <f t="shared" si="9"/>
        <v>3210</v>
      </c>
      <c r="U26" s="34">
        <f t="shared" si="9"/>
        <v>3980.04</v>
      </c>
    </row>
    <row r="27" spans="2:21" hidden="1" x14ac:dyDescent="0.25"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2:21" x14ac:dyDescent="0.25">
      <c r="B28" s="2" t="s">
        <v>63</v>
      </c>
      <c r="C28" s="2" t="s">
        <v>51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2:21" x14ac:dyDescent="0.25">
      <c r="B29" t="s">
        <v>122</v>
      </c>
      <c r="C29" t="s">
        <v>97</v>
      </c>
      <c r="D29" t="s">
        <v>80</v>
      </c>
      <c r="E29" s="15">
        <v>5350</v>
      </c>
      <c r="F29" s="29">
        <v>15</v>
      </c>
      <c r="G29" s="15"/>
      <c r="H29" s="15"/>
      <c r="I29" s="15"/>
      <c r="J29" s="15"/>
      <c r="K29" s="15">
        <f t="shared" ref="K29:K39" si="10">E29-I29</f>
        <v>5350</v>
      </c>
      <c r="L29" s="15">
        <v>0</v>
      </c>
      <c r="M29" s="15">
        <v>588.20000000000005</v>
      </c>
      <c r="N29" s="15">
        <f>M29-L29</f>
        <v>588.20000000000005</v>
      </c>
      <c r="O29" s="15">
        <v>0</v>
      </c>
      <c r="P29" s="20">
        <f>E29*0.115</f>
        <v>615.25</v>
      </c>
      <c r="Q29" s="15">
        <f t="shared" ref="Q29:Q39" si="11">SUM(N29:P29)+G29</f>
        <v>1203.45</v>
      </c>
      <c r="R29" s="74">
        <f t="shared" ref="R29:R39" si="12">K29-Q29</f>
        <v>4146.55</v>
      </c>
      <c r="S29" s="11">
        <v>256.68</v>
      </c>
      <c r="T29" s="11">
        <v>1070</v>
      </c>
      <c r="U29" s="35">
        <f t="shared" ref="U29:U39" si="13">S29+T29</f>
        <v>1326.68</v>
      </c>
    </row>
    <row r="30" spans="2:21" x14ac:dyDescent="0.25">
      <c r="B30" t="s">
        <v>123</v>
      </c>
      <c r="C30" t="s">
        <v>100</v>
      </c>
      <c r="D30" t="s">
        <v>80</v>
      </c>
      <c r="E30" s="15">
        <v>5350</v>
      </c>
      <c r="F30" s="29">
        <v>15</v>
      </c>
      <c r="G30" s="15"/>
      <c r="H30" s="15"/>
      <c r="I30" s="72">
        <v>1.7</v>
      </c>
      <c r="J30" s="20"/>
      <c r="K30" s="20">
        <f t="shared" si="10"/>
        <v>5348.3</v>
      </c>
      <c r="L30" s="20">
        <v>0</v>
      </c>
      <c r="M30" s="20">
        <v>587.48</v>
      </c>
      <c r="N30" s="20">
        <v>588.20000000000005</v>
      </c>
      <c r="O30" s="15">
        <v>0</v>
      </c>
      <c r="P30" s="20">
        <f t="shared" ref="P30:P39" si="14">E30*0.115</f>
        <v>615.25</v>
      </c>
      <c r="Q30" s="15">
        <f t="shared" si="11"/>
        <v>1203.45</v>
      </c>
      <c r="R30" s="74">
        <f t="shared" si="12"/>
        <v>4144.8500000000004</v>
      </c>
      <c r="S30" s="11">
        <v>256.68</v>
      </c>
      <c r="T30" s="11">
        <v>1070</v>
      </c>
      <c r="U30" s="35">
        <f t="shared" si="13"/>
        <v>1326.68</v>
      </c>
    </row>
    <row r="31" spans="2:21" x14ac:dyDescent="0.25">
      <c r="B31" t="s">
        <v>124</v>
      </c>
      <c r="C31" t="s">
        <v>96</v>
      </c>
      <c r="D31" t="s">
        <v>78</v>
      </c>
      <c r="E31" s="15">
        <v>5350</v>
      </c>
      <c r="F31" s="29">
        <v>15</v>
      </c>
      <c r="G31" s="15"/>
      <c r="H31" s="15"/>
      <c r="I31" s="20"/>
      <c r="J31" s="20"/>
      <c r="K31" s="20">
        <f t="shared" si="10"/>
        <v>5350</v>
      </c>
      <c r="L31" s="20">
        <v>0</v>
      </c>
      <c r="M31" s="20">
        <v>588.20000000000005</v>
      </c>
      <c r="N31" s="20">
        <f t="shared" ref="N31:N39" si="15">M31-L31</f>
        <v>588.20000000000005</v>
      </c>
      <c r="O31" s="15">
        <v>0</v>
      </c>
      <c r="P31" s="20">
        <f t="shared" si="14"/>
        <v>615.25</v>
      </c>
      <c r="Q31" s="15">
        <f t="shared" si="11"/>
        <v>1203.45</v>
      </c>
      <c r="R31" s="74">
        <f t="shared" si="12"/>
        <v>4146.55</v>
      </c>
      <c r="S31" s="11">
        <v>256.68</v>
      </c>
      <c r="T31" s="11">
        <v>1070</v>
      </c>
      <c r="U31" s="35">
        <f t="shared" si="13"/>
        <v>1326.68</v>
      </c>
    </row>
    <row r="32" spans="2:21" x14ac:dyDescent="0.25">
      <c r="B32" t="s">
        <v>125</v>
      </c>
      <c r="C32" t="s">
        <v>104</v>
      </c>
      <c r="D32" t="s">
        <v>78</v>
      </c>
      <c r="E32" s="15">
        <v>5350</v>
      </c>
      <c r="F32" s="29">
        <v>15</v>
      </c>
      <c r="G32" s="15"/>
      <c r="H32" s="15"/>
      <c r="I32" s="20"/>
      <c r="J32" s="20"/>
      <c r="K32" s="20">
        <f t="shared" si="10"/>
        <v>5350</v>
      </c>
      <c r="L32" s="20">
        <v>0</v>
      </c>
      <c r="M32" s="20">
        <v>588.20000000000005</v>
      </c>
      <c r="N32" s="20">
        <f t="shared" si="15"/>
        <v>588.20000000000005</v>
      </c>
      <c r="O32" s="15">
        <v>0</v>
      </c>
      <c r="P32" s="20">
        <f t="shared" si="14"/>
        <v>615.25</v>
      </c>
      <c r="Q32" s="15">
        <f t="shared" si="11"/>
        <v>1203.45</v>
      </c>
      <c r="R32" s="74">
        <f t="shared" si="12"/>
        <v>4146.55</v>
      </c>
      <c r="S32" s="11">
        <v>256.68</v>
      </c>
      <c r="T32" s="11">
        <v>1070</v>
      </c>
      <c r="U32" s="35">
        <f t="shared" si="13"/>
        <v>1326.68</v>
      </c>
    </row>
    <row r="33" spans="2:21" x14ac:dyDescent="0.25">
      <c r="B33" t="s">
        <v>126</v>
      </c>
      <c r="C33" t="s">
        <v>94</v>
      </c>
      <c r="D33" t="s">
        <v>81</v>
      </c>
      <c r="E33" s="15">
        <v>5350</v>
      </c>
      <c r="F33" s="29">
        <v>15</v>
      </c>
      <c r="G33" s="73">
        <v>595</v>
      </c>
      <c r="H33" s="15"/>
      <c r="I33" s="72">
        <v>2.54</v>
      </c>
      <c r="J33" s="20"/>
      <c r="K33" s="20">
        <f>E33-I33</f>
        <v>5347.46</v>
      </c>
      <c r="L33" s="20">
        <v>0</v>
      </c>
      <c r="M33" s="20">
        <v>517.23</v>
      </c>
      <c r="N33" s="20">
        <v>588.02</v>
      </c>
      <c r="O33" s="15">
        <v>0</v>
      </c>
      <c r="P33" s="20">
        <f t="shared" si="14"/>
        <v>615.25</v>
      </c>
      <c r="Q33" s="15">
        <f t="shared" si="11"/>
        <v>1798.27</v>
      </c>
      <c r="R33" s="74">
        <f>K33-Q33</f>
        <v>3549.19</v>
      </c>
      <c r="S33" s="11">
        <v>256.68</v>
      </c>
      <c r="T33" s="11">
        <v>1070</v>
      </c>
      <c r="U33" s="35">
        <f t="shared" si="13"/>
        <v>1326.68</v>
      </c>
    </row>
    <row r="34" spans="2:21" x14ac:dyDescent="0.25">
      <c r="B34" t="s">
        <v>127</v>
      </c>
      <c r="C34" t="s">
        <v>98</v>
      </c>
      <c r="D34" t="s">
        <v>81</v>
      </c>
      <c r="E34" s="15">
        <v>5350</v>
      </c>
      <c r="F34" s="29">
        <v>15</v>
      </c>
      <c r="G34" s="15"/>
      <c r="H34" s="20"/>
      <c r="I34" s="72">
        <v>5.94</v>
      </c>
      <c r="J34" s="20"/>
      <c r="K34" s="20">
        <f>E34-I34</f>
        <v>5344.06</v>
      </c>
      <c r="L34" s="20">
        <v>0</v>
      </c>
      <c r="M34" s="20">
        <v>588.20000000000005</v>
      </c>
      <c r="N34" s="20">
        <f t="shared" si="15"/>
        <v>588.20000000000005</v>
      </c>
      <c r="O34" s="15">
        <v>0</v>
      </c>
      <c r="P34" s="20">
        <f>E34*0.115</f>
        <v>615.25</v>
      </c>
      <c r="Q34" s="15">
        <f>SUM(N34:P34)+G34</f>
        <v>1203.45</v>
      </c>
      <c r="R34" s="74">
        <f>K34-Q34</f>
        <v>4140.6100000000006</v>
      </c>
      <c r="S34" s="11">
        <v>256.68</v>
      </c>
      <c r="T34" s="11">
        <v>1070</v>
      </c>
      <c r="U34" s="35">
        <f t="shared" si="13"/>
        <v>1326.68</v>
      </c>
    </row>
    <row r="35" spans="2:21" x14ac:dyDescent="0.25">
      <c r="B35" t="s">
        <v>128</v>
      </c>
      <c r="C35" t="s">
        <v>101</v>
      </c>
      <c r="D35" t="s">
        <v>81</v>
      </c>
      <c r="E35" s="15">
        <v>5350</v>
      </c>
      <c r="F35" s="29">
        <v>15</v>
      </c>
      <c r="G35" s="15"/>
      <c r="H35" s="15"/>
      <c r="I35" s="64">
        <v>0.84</v>
      </c>
      <c r="J35" s="20"/>
      <c r="K35" s="20">
        <f>E35-I35</f>
        <v>5349.16</v>
      </c>
      <c r="L35" s="20">
        <v>0</v>
      </c>
      <c r="M35" s="15">
        <v>588.20000000000005</v>
      </c>
      <c r="N35" s="15">
        <f>M35-L35</f>
        <v>588.20000000000005</v>
      </c>
      <c r="O35" s="15">
        <v>0</v>
      </c>
      <c r="P35" s="20">
        <f t="shared" si="14"/>
        <v>615.25</v>
      </c>
      <c r="Q35" s="15">
        <f>SUM(N35:P35)+G35</f>
        <v>1203.45</v>
      </c>
      <c r="R35" s="74">
        <f>K35-Q35</f>
        <v>4145.71</v>
      </c>
      <c r="S35" s="11">
        <v>256.68</v>
      </c>
      <c r="T35" s="11">
        <v>1070</v>
      </c>
      <c r="U35" s="35">
        <f t="shared" si="13"/>
        <v>1326.68</v>
      </c>
    </row>
    <row r="36" spans="2:21" x14ac:dyDescent="0.25">
      <c r="B36" t="s">
        <v>129</v>
      </c>
      <c r="C36" t="s">
        <v>95</v>
      </c>
      <c r="D36" t="s">
        <v>82</v>
      </c>
      <c r="E36" s="15">
        <v>5350</v>
      </c>
      <c r="F36" s="29">
        <v>15</v>
      </c>
      <c r="G36" s="73">
        <v>1190</v>
      </c>
      <c r="H36" s="15"/>
      <c r="I36" s="15"/>
      <c r="J36" s="15"/>
      <c r="K36" s="15">
        <f t="shared" si="10"/>
        <v>5350</v>
      </c>
      <c r="L36" s="15">
        <v>0</v>
      </c>
      <c r="M36" s="15">
        <v>588.20000000000005</v>
      </c>
      <c r="N36" s="15">
        <f t="shared" si="15"/>
        <v>588.20000000000005</v>
      </c>
      <c r="O36" s="15">
        <v>0</v>
      </c>
      <c r="P36" s="20">
        <f t="shared" si="14"/>
        <v>615.25</v>
      </c>
      <c r="Q36" s="15">
        <f t="shared" si="11"/>
        <v>2393.4499999999998</v>
      </c>
      <c r="R36" s="74">
        <f t="shared" si="12"/>
        <v>2956.55</v>
      </c>
      <c r="S36" s="11">
        <v>256.68</v>
      </c>
      <c r="T36" s="11">
        <v>1070</v>
      </c>
      <c r="U36" s="35">
        <f t="shared" si="13"/>
        <v>1326.68</v>
      </c>
    </row>
    <row r="37" spans="2:21" x14ac:dyDescent="0.25">
      <c r="B37" t="s">
        <v>130</v>
      </c>
      <c r="C37" t="s">
        <v>102</v>
      </c>
      <c r="D37" t="s">
        <v>82</v>
      </c>
      <c r="E37" s="15">
        <v>5350</v>
      </c>
      <c r="F37" s="29">
        <v>15</v>
      </c>
      <c r="G37" s="73">
        <v>927.62</v>
      </c>
      <c r="H37" s="15"/>
      <c r="I37" s="15"/>
      <c r="J37" s="15"/>
      <c r="K37" s="15">
        <f t="shared" si="10"/>
        <v>5350</v>
      </c>
      <c r="L37" s="15">
        <v>0</v>
      </c>
      <c r="M37" s="15">
        <v>586.03</v>
      </c>
      <c r="N37" s="15">
        <v>588.20000000000005</v>
      </c>
      <c r="O37" s="15">
        <v>0</v>
      </c>
      <c r="P37" s="20">
        <f t="shared" si="14"/>
        <v>615.25</v>
      </c>
      <c r="Q37" s="15">
        <f>SUM(N37:P37)+G37</f>
        <v>2131.0700000000002</v>
      </c>
      <c r="R37" s="74">
        <f t="shared" si="12"/>
        <v>3218.93</v>
      </c>
      <c r="S37" s="11">
        <v>256.68</v>
      </c>
      <c r="T37" s="11">
        <v>1070</v>
      </c>
      <c r="U37" s="35">
        <f t="shared" si="13"/>
        <v>1326.68</v>
      </c>
    </row>
    <row r="38" spans="2:21" x14ac:dyDescent="0.25">
      <c r="B38" t="s">
        <v>131</v>
      </c>
      <c r="C38" t="s">
        <v>85</v>
      </c>
      <c r="D38" t="s">
        <v>83</v>
      </c>
      <c r="E38" s="15">
        <v>5350</v>
      </c>
      <c r="F38" s="29">
        <v>15</v>
      </c>
      <c r="G38" s="73">
        <v>1784</v>
      </c>
      <c r="H38" s="15"/>
      <c r="I38" s="15"/>
      <c r="J38" s="15"/>
      <c r="K38" s="15">
        <f t="shared" si="10"/>
        <v>5350</v>
      </c>
      <c r="L38" s="15">
        <v>0</v>
      </c>
      <c r="M38" s="15">
        <v>588.20000000000005</v>
      </c>
      <c r="N38" s="15">
        <f t="shared" si="15"/>
        <v>588.20000000000005</v>
      </c>
      <c r="O38" s="15">
        <v>0</v>
      </c>
      <c r="P38" s="20">
        <f t="shared" si="14"/>
        <v>615.25</v>
      </c>
      <c r="Q38" s="15">
        <f t="shared" si="11"/>
        <v>2987.45</v>
      </c>
      <c r="R38" s="74">
        <f t="shared" si="12"/>
        <v>2362.5500000000002</v>
      </c>
      <c r="S38" s="11">
        <v>256.68</v>
      </c>
      <c r="T38" s="11">
        <v>1070</v>
      </c>
      <c r="U38" s="35">
        <f t="shared" si="13"/>
        <v>1326.68</v>
      </c>
    </row>
    <row r="39" spans="2:21" x14ac:dyDescent="0.25">
      <c r="B39" t="s">
        <v>132</v>
      </c>
      <c r="C39" t="s">
        <v>103</v>
      </c>
      <c r="D39" t="s">
        <v>83</v>
      </c>
      <c r="E39" s="15">
        <v>5350</v>
      </c>
      <c r="F39" s="29">
        <v>15</v>
      </c>
      <c r="G39" s="73">
        <v>1900</v>
      </c>
      <c r="H39" s="15"/>
      <c r="I39" s="15"/>
      <c r="J39" s="15"/>
      <c r="K39" s="15">
        <f t="shared" si="10"/>
        <v>5350</v>
      </c>
      <c r="L39" s="15">
        <v>0</v>
      </c>
      <c r="M39" s="15">
        <v>588.20000000000005</v>
      </c>
      <c r="N39" s="15">
        <f t="shared" si="15"/>
        <v>588.20000000000005</v>
      </c>
      <c r="O39" s="15">
        <v>0</v>
      </c>
      <c r="P39" s="20">
        <f t="shared" si="14"/>
        <v>615.25</v>
      </c>
      <c r="Q39" s="15">
        <f t="shared" si="11"/>
        <v>3103.45</v>
      </c>
      <c r="R39" s="74">
        <f t="shared" si="12"/>
        <v>2246.5500000000002</v>
      </c>
      <c r="S39" s="11">
        <v>256.68</v>
      </c>
      <c r="T39" s="11">
        <v>1070</v>
      </c>
      <c r="U39" s="35">
        <f t="shared" si="13"/>
        <v>1326.68</v>
      </c>
    </row>
    <row r="40" spans="2:21" x14ac:dyDescent="0.25">
      <c r="B40" s="2" t="s">
        <v>26</v>
      </c>
      <c r="C40" s="30"/>
      <c r="D40" s="30"/>
      <c r="E40" s="34">
        <f>SUM(E29:E39)</f>
        <v>58850</v>
      </c>
      <c r="F40" s="34"/>
      <c r="G40" s="34">
        <f>+G39+G38+G37+G36+G35+G34+G33</f>
        <v>6396.62</v>
      </c>
      <c r="H40" s="34"/>
      <c r="I40" s="34">
        <f>SUM(I29:I39)</f>
        <v>11.02</v>
      </c>
      <c r="J40" s="34">
        <f>SUM(J29:J39)</f>
        <v>0</v>
      </c>
      <c r="K40" s="34">
        <f>SUM(K29:K39)</f>
        <v>58838.979999999996</v>
      </c>
      <c r="L40" s="34">
        <f t="shared" ref="L40:U40" si="16">SUM(L29:L39)</f>
        <v>0</v>
      </c>
      <c r="M40" s="34">
        <f t="shared" si="16"/>
        <v>6396.3399999999992</v>
      </c>
      <c r="N40" s="34">
        <f t="shared" si="16"/>
        <v>6470.0199999999995</v>
      </c>
      <c r="O40" s="34">
        <f t="shared" si="16"/>
        <v>0</v>
      </c>
      <c r="P40" s="34">
        <f>SUM(P29:P39)</f>
        <v>6767.75</v>
      </c>
      <c r="Q40" s="34">
        <f t="shared" si="16"/>
        <v>19634.39</v>
      </c>
      <c r="R40" s="34">
        <f t="shared" si="16"/>
        <v>39204.590000000004</v>
      </c>
      <c r="S40" s="34">
        <f t="shared" si="16"/>
        <v>2823.4799999999996</v>
      </c>
      <c r="T40" s="34">
        <f t="shared" si="16"/>
        <v>11770</v>
      </c>
      <c r="U40" s="34">
        <f t="shared" si="16"/>
        <v>14593.480000000001</v>
      </c>
    </row>
    <row r="41" spans="2:21" hidden="1" x14ac:dyDescent="0.25"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2:21" x14ac:dyDescent="0.25">
      <c r="B42" s="2" t="s">
        <v>140</v>
      </c>
      <c r="C42" s="2" t="s">
        <v>64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2:21" x14ac:dyDescent="0.25">
      <c r="B43" t="s">
        <v>133</v>
      </c>
      <c r="C43" t="s">
        <v>99</v>
      </c>
      <c r="D43" t="s">
        <v>80</v>
      </c>
      <c r="E43" s="15">
        <v>5350</v>
      </c>
      <c r="F43" s="29">
        <v>15</v>
      </c>
      <c r="G43" s="15"/>
      <c r="H43" s="15"/>
      <c r="I43" s="77"/>
      <c r="J43" s="20"/>
      <c r="K43" s="20">
        <f>E43-I43</f>
        <v>5350</v>
      </c>
      <c r="L43" s="20">
        <v>0</v>
      </c>
      <c r="M43" s="20">
        <v>586.21</v>
      </c>
      <c r="N43" s="20">
        <v>588.20000000000005</v>
      </c>
      <c r="O43" s="15">
        <v>0</v>
      </c>
      <c r="P43" s="15">
        <f t="shared" ref="P43" si="17">E43*0.115</f>
        <v>615.25</v>
      </c>
      <c r="Q43" s="15">
        <f>SUM(N43:P43)+G43</f>
        <v>1203.45</v>
      </c>
      <c r="R43" s="74">
        <f>K43-Q43</f>
        <v>4146.55</v>
      </c>
      <c r="S43" s="11">
        <v>256.68</v>
      </c>
      <c r="T43" s="11">
        <v>1070</v>
      </c>
      <c r="U43" s="35">
        <f t="shared" ref="U43:U44" si="18">S43+T43</f>
        <v>1326.68</v>
      </c>
    </row>
    <row r="44" spans="2:21" x14ac:dyDescent="0.25">
      <c r="B44" t="s">
        <v>152</v>
      </c>
      <c r="C44" t="s">
        <v>92</v>
      </c>
      <c r="D44" t="s">
        <v>80</v>
      </c>
      <c r="E44" s="15">
        <v>5350</v>
      </c>
      <c r="F44" s="29">
        <v>15</v>
      </c>
      <c r="G44" s="15"/>
      <c r="H44" s="15"/>
      <c r="I44" s="15"/>
      <c r="J44" s="15"/>
      <c r="K44" s="15">
        <f>E44-I44</f>
        <v>5350</v>
      </c>
      <c r="L44" s="15">
        <v>0</v>
      </c>
      <c r="M44" s="15">
        <v>588.20000000000005</v>
      </c>
      <c r="N44" s="15">
        <v>588.20000000000005</v>
      </c>
      <c r="O44" s="15">
        <v>0</v>
      </c>
      <c r="P44" s="15">
        <f>K44*0.115</f>
        <v>615.25</v>
      </c>
      <c r="Q44" s="15">
        <f>SUM(N44:P44)+G44</f>
        <v>1203.45</v>
      </c>
      <c r="R44" s="74">
        <f>K44-Q44</f>
        <v>4146.55</v>
      </c>
      <c r="S44" s="11">
        <v>256.68</v>
      </c>
      <c r="T44" s="11">
        <v>1070</v>
      </c>
      <c r="U44" s="35">
        <f t="shared" si="18"/>
        <v>1326.68</v>
      </c>
    </row>
    <row r="45" spans="2:21" x14ac:dyDescent="0.25">
      <c r="B45" s="2" t="s">
        <v>26</v>
      </c>
      <c r="C45" s="30"/>
      <c r="D45" s="30"/>
      <c r="E45" s="34">
        <f>E43+E44</f>
        <v>10700</v>
      </c>
      <c r="F45" s="34"/>
      <c r="G45" s="34">
        <f>+G44+G43</f>
        <v>0</v>
      </c>
      <c r="H45" s="34"/>
      <c r="I45" s="34">
        <f>I43+I44</f>
        <v>0</v>
      </c>
      <c r="J45" s="34">
        <f>J43+J44</f>
        <v>0</v>
      </c>
      <c r="K45" s="34">
        <f t="shared" ref="K45:U45" si="19">K43+K44</f>
        <v>10700</v>
      </c>
      <c r="L45" s="34">
        <f t="shared" si="19"/>
        <v>0</v>
      </c>
      <c r="M45" s="34">
        <f t="shared" si="19"/>
        <v>1174.4100000000001</v>
      </c>
      <c r="N45" s="34">
        <f t="shared" si="19"/>
        <v>1176.4000000000001</v>
      </c>
      <c r="O45" s="34">
        <f t="shared" si="19"/>
        <v>0</v>
      </c>
      <c r="P45" s="34">
        <f>P43+P44</f>
        <v>1230.5</v>
      </c>
      <c r="Q45" s="34">
        <f t="shared" si="19"/>
        <v>2406.9</v>
      </c>
      <c r="R45" s="34">
        <f t="shared" si="19"/>
        <v>8293.1</v>
      </c>
      <c r="S45" s="34">
        <f t="shared" si="19"/>
        <v>513.36</v>
      </c>
      <c r="T45" s="34">
        <f t="shared" si="19"/>
        <v>2140</v>
      </c>
      <c r="U45" s="34">
        <f t="shared" si="19"/>
        <v>2653.36</v>
      </c>
    </row>
    <row r="46" spans="2:21" hidden="1" x14ac:dyDescent="0.25">
      <c r="B46" s="2"/>
      <c r="E46" s="15"/>
      <c r="F46" s="15"/>
      <c r="G46" s="15"/>
      <c r="H46" s="15"/>
      <c r="I46" s="15"/>
      <c r="J46" s="15"/>
      <c r="K46" s="16"/>
      <c r="L46" s="16"/>
      <c r="M46" s="16"/>
      <c r="N46" s="16"/>
      <c r="O46" s="16"/>
      <c r="P46" s="16"/>
      <c r="Q46" s="16"/>
      <c r="R46" s="16"/>
      <c r="S46" s="8"/>
      <c r="T46" s="8"/>
      <c r="U46" s="8"/>
    </row>
    <row r="47" spans="2:21" x14ac:dyDescent="0.25">
      <c r="B47" s="2" t="s">
        <v>161</v>
      </c>
      <c r="C47" s="2" t="s">
        <v>162</v>
      </c>
      <c r="E47" s="15"/>
      <c r="F47" s="15"/>
      <c r="G47" s="15"/>
      <c r="H47" s="15"/>
      <c r="I47" s="15"/>
      <c r="J47" s="15"/>
      <c r="K47" s="16"/>
      <c r="L47" s="16"/>
      <c r="M47" s="16"/>
      <c r="N47" s="16"/>
      <c r="O47" s="16"/>
      <c r="P47" s="16"/>
      <c r="Q47" s="16"/>
      <c r="R47" s="16"/>
      <c r="S47" s="8"/>
      <c r="T47" s="8"/>
      <c r="U47" s="8"/>
    </row>
    <row r="48" spans="2:21" x14ac:dyDescent="0.25">
      <c r="B48" t="s">
        <v>163</v>
      </c>
      <c r="C48" s="11" t="s">
        <v>42</v>
      </c>
      <c r="D48" t="s">
        <v>2</v>
      </c>
      <c r="E48" s="15">
        <v>10000</v>
      </c>
      <c r="F48" s="29">
        <v>15</v>
      </c>
      <c r="G48" s="15"/>
      <c r="H48" s="15"/>
      <c r="I48" s="15"/>
      <c r="J48" s="15"/>
      <c r="K48" s="15">
        <f>E48-I48</f>
        <v>10000</v>
      </c>
      <c r="L48" s="15">
        <v>0</v>
      </c>
      <c r="M48" s="15">
        <v>1581.44</v>
      </c>
      <c r="N48" s="15">
        <f>M48-L48</f>
        <v>1581.44</v>
      </c>
      <c r="O48" s="15">
        <v>0</v>
      </c>
      <c r="P48" s="15">
        <f>E48*0.115</f>
        <v>1150</v>
      </c>
      <c r="Q48" s="15">
        <f>SUM(N48:P48)+G48</f>
        <v>2731.44</v>
      </c>
      <c r="R48" s="74">
        <f>K48-Q48</f>
        <v>7268.5599999999995</v>
      </c>
      <c r="S48" s="11">
        <v>285.52999999999997</v>
      </c>
      <c r="T48" s="11">
        <v>2000</v>
      </c>
      <c r="U48" s="35">
        <f>S48+T48</f>
        <v>2285.5299999999997</v>
      </c>
    </row>
    <row r="49" spans="2:21" x14ac:dyDescent="0.25">
      <c r="B49" s="2" t="s">
        <v>26</v>
      </c>
      <c r="E49" s="34">
        <f>E48</f>
        <v>10000</v>
      </c>
      <c r="F49" s="34"/>
      <c r="G49" s="34">
        <f>+G48</f>
        <v>0</v>
      </c>
      <c r="H49" s="34"/>
      <c r="I49" s="34">
        <f>I48</f>
        <v>0</v>
      </c>
      <c r="J49" s="34">
        <f>J48</f>
        <v>0</v>
      </c>
      <c r="K49" s="34">
        <f t="shared" ref="K49:U49" si="20">K48</f>
        <v>10000</v>
      </c>
      <c r="L49" s="34">
        <f t="shared" si="20"/>
        <v>0</v>
      </c>
      <c r="M49" s="34">
        <f t="shared" si="20"/>
        <v>1581.44</v>
      </c>
      <c r="N49" s="34">
        <f t="shared" si="20"/>
        <v>1581.44</v>
      </c>
      <c r="O49" s="34">
        <f t="shared" si="20"/>
        <v>0</v>
      </c>
      <c r="P49" s="34">
        <f>P48</f>
        <v>1150</v>
      </c>
      <c r="Q49" s="34">
        <f t="shared" si="20"/>
        <v>2731.44</v>
      </c>
      <c r="R49" s="34">
        <f t="shared" si="20"/>
        <v>7268.5599999999995</v>
      </c>
      <c r="S49" s="34">
        <f t="shared" si="20"/>
        <v>285.52999999999997</v>
      </c>
      <c r="T49" s="34">
        <f t="shared" si="20"/>
        <v>2000</v>
      </c>
      <c r="U49" s="34">
        <f t="shared" si="20"/>
        <v>2285.5299999999997</v>
      </c>
    </row>
    <row r="50" spans="2:21" ht="12" customHeight="1" x14ac:dyDescent="0.25">
      <c r="B50" s="2"/>
      <c r="E50" s="15"/>
      <c r="F50" s="15"/>
      <c r="G50" s="15"/>
      <c r="H50" s="15"/>
      <c r="I50" s="15"/>
      <c r="J50" s="15"/>
      <c r="K50" s="16"/>
      <c r="L50" s="16"/>
      <c r="M50" s="16"/>
      <c r="N50" s="16"/>
      <c r="O50" s="16"/>
      <c r="P50" s="16"/>
      <c r="Q50" s="16"/>
      <c r="R50" s="16"/>
      <c r="S50" s="8"/>
      <c r="T50" s="8"/>
      <c r="U50" s="8"/>
    </row>
    <row r="51" spans="2:21" hidden="1" x14ac:dyDescent="0.25"/>
    <row r="52" spans="2:21" ht="18.75" x14ac:dyDescent="0.3">
      <c r="C52" s="53" t="s">
        <v>105</v>
      </c>
      <c r="E52" s="17">
        <f>E9+E20+E26+E40+E45+E49</f>
        <v>158954.95000000001</v>
      </c>
      <c r="F52" s="17"/>
      <c r="G52" s="17">
        <f>G9+G20+G26+G40+G45+G49</f>
        <v>16078.619999999999</v>
      </c>
      <c r="H52" s="17"/>
      <c r="I52" s="17">
        <f>I9+I20+I26+I40+I45+I49</f>
        <v>11.02</v>
      </c>
      <c r="J52" s="17">
        <f t="shared" ref="J52:U52" si="21">J9+J20+J26+J40+J45+J49</f>
        <v>0</v>
      </c>
      <c r="K52" s="17">
        <f>K9+K20+K26+K40+K45+K49</f>
        <v>158943.93</v>
      </c>
      <c r="L52" s="17">
        <f t="shared" si="21"/>
        <v>274.08999999999997</v>
      </c>
      <c r="M52" s="17">
        <f t="shared" si="21"/>
        <v>19286.219999999998</v>
      </c>
      <c r="N52" s="17">
        <f t="shared" si="21"/>
        <v>19225.43</v>
      </c>
      <c r="O52" s="17">
        <f t="shared" si="21"/>
        <v>0</v>
      </c>
      <c r="P52" s="17">
        <f>P9+P20+P26+P40+P45+P49</f>
        <v>17664.56925</v>
      </c>
      <c r="Q52" s="17">
        <f t="shared" si="21"/>
        <v>52968.619250000003</v>
      </c>
      <c r="R52" s="54">
        <f>R9+R20+R26+R40+R45+R49</f>
        <v>105975.31075</v>
      </c>
      <c r="S52" s="17">
        <f>S9+S20+S26+S40+S45+S49</f>
        <v>7020.3799999999992</v>
      </c>
      <c r="T52" s="17">
        <f>T9+T20+T26+T40+T45+T49</f>
        <v>30720.989999999998</v>
      </c>
      <c r="U52" s="55">
        <f t="shared" si="21"/>
        <v>37741.370000000003</v>
      </c>
    </row>
    <row r="55" spans="2:21" ht="15.75" thickBot="1" x14ac:dyDescent="0.3">
      <c r="E55" s="375"/>
      <c r="F55" s="375"/>
      <c r="G55" s="75"/>
      <c r="H55" s="75"/>
      <c r="P55" s="376"/>
      <c r="Q55" s="376"/>
    </row>
    <row r="56" spans="2:21" x14ac:dyDescent="0.25">
      <c r="E56" s="377" t="s">
        <v>177</v>
      </c>
      <c r="F56" s="377"/>
      <c r="G56" s="76"/>
      <c r="H56" s="76"/>
      <c r="P56" s="26"/>
      <c r="Q56" s="26"/>
      <c r="R56" s="378" t="s">
        <v>157</v>
      </c>
      <c r="S56" s="378"/>
    </row>
    <row r="60" spans="2:21" x14ac:dyDescent="0.25">
      <c r="C60" t="s">
        <v>174</v>
      </c>
    </row>
  </sheetData>
  <mergeCells count="5">
    <mergeCell ref="B4:U4"/>
    <mergeCell ref="E55:F55"/>
    <mergeCell ref="P55:Q55"/>
    <mergeCell ref="E56:F56"/>
    <mergeCell ref="R56:S56"/>
  </mergeCells>
  <pageMargins left="0.51181102362204722" right="0.51181102362204722" top="0.15748031496062992" bottom="0.35433070866141736" header="0.31496062992125984" footer="0.31496062992125984"/>
  <pageSetup scale="42" fitToHeight="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U60"/>
  <sheetViews>
    <sheetView topLeftCell="A23" zoomScale="85" zoomScaleNormal="85" workbookViewId="0">
      <selection activeCell="R48" sqref="R48"/>
    </sheetView>
  </sheetViews>
  <sheetFormatPr baseColWidth="10" defaultRowHeight="15" x14ac:dyDescent="0.25"/>
  <cols>
    <col min="1" max="1" width="0.7109375" customWidth="1"/>
    <col min="2" max="2" width="17.140625" customWidth="1"/>
    <col min="3" max="3" width="34.140625" customWidth="1"/>
    <col min="4" max="4" width="28" customWidth="1"/>
    <col min="5" max="5" width="18.42578125" customWidth="1"/>
    <col min="6" max="6" width="12.7109375" customWidth="1"/>
    <col min="7" max="7" width="12.28515625" customWidth="1"/>
    <col min="8" max="8" width="14.140625" customWidth="1"/>
    <col min="9" max="9" width="13.85546875" customWidth="1"/>
    <col min="10" max="10" width="0" hidden="1" customWidth="1"/>
    <col min="11" max="11" width="14.42578125" customWidth="1"/>
    <col min="12" max="12" width="9.42578125" customWidth="1"/>
    <col min="13" max="13" width="14.42578125" customWidth="1"/>
    <col min="14" max="14" width="12.7109375" customWidth="1"/>
    <col min="15" max="15" width="11.42578125" hidden="1" customWidth="1"/>
    <col min="16" max="16" width="12.85546875" customWidth="1"/>
    <col min="17" max="17" width="16.5703125" customWidth="1"/>
    <col min="18" max="18" width="18.28515625" customWidth="1"/>
    <col min="19" max="19" width="16.140625" customWidth="1"/>
    <col min="20" max="20" width="14.85546875" customWidth="1"/>
    <col min="21" max="21" width="17" customWidth="1"/>
  </cols>
  <sheetData>
    <row r="3" spans="2:21" x14ac:dyDescent="0.25"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2:21" ht="16.5" customHeight="1" x14ac:dyDescent="0.25">
      <c r="B4" s="372" t="s">
        <v>187</v>
      </c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</row>
    <row r="5" spans="2:21" s="56" customFormat="1" ht="39.75" customHeight="1" thickBot="1" x14ac:dyDescent="0.3">
      <c r="B5" s="42" t="s">
        <v>9</v>
      </c>
      <c r="C5" s="43" t="s">
        <v>10</v>
      </c>
      <c r="D5" s="43" t="s">
        <v>0</v>
      </c>
      <c r="E5" s="44" t="s">
        <v>11</v>
      </c>
      <c r="F5" s="44" t="s">
        <v>150</v>
      </c>
      <c r="G5" s="61" t="s">
        <v>180</v>
      </c>
      <c r="H5" s="61" t="s">
        <v>182</v>
      </c>
      <c r="I5" s="45" t="s">
        <v>169</v>
      </c>
      <c r="J5" s="44" t="s">
        <v>170</v>
      </c>
      <c r="K5" s="44" t="s">
        <v>12</v>
      </c>
      <c r="L5" s="44" t="s">
        <v>107</v>
      </c>
      <c r="M5" s="44" t="s">
        <v>143</v>
      </c>
      <c r="N5" s="44" t="s">
        <v>13</v>
      </c>
      <c r="O5" s="44" t="s">
        <v>171</v>
      </c>
      <c r="P5" s="44" t="s">
        <v>16</v>
      </c>
      <c r="Q5" s="44" t="s">
        <v>17</v>
      </c>
      <c r="R5" s="44" t="s">
        <v>72</v>
      </c>
      <c r="S5" s="43" t="s">
        <v>8</v>
      </c>
      <c r="T5" s="43" t="s">
        <v>18</v>
      </c>
      <c r="U5" s="46" t="s">
        <v>73</v>
      </c>
    </row>
    <row r="6" spans="2:21" ht="15.75" thickTop="1" x14ac:dyDescent="0.25">
      <c r="B6" s="2" t="s">
        <v>19</v>
      </c>
      <c r="C6" s="2" t="s">
        <v>20</v>
      </c>
      <c r="D6" s="2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2:21" x14ac:dyDescent="0.25">
      <c r="B7" t="s">
        <v>21</v>
      </c>
      <c r="C7" s="11" t="s">
        <v>22</v>
      </c>
      <c r="D7" t="s">
        <v>25</v>
      </c>
      <c r="E7" s="15">
        <v>16954.95</v>
      </c>
      <c r="F7" s="29">
        <v>15</v>
      </c>
      <c r="G7" s="73">
        <v>2700</v>
      </c>
      <c r="H7" s="15"/>
      <c r="I7" s="15"/>
      <c r="J7" s="15"/>
      <c r="K7" s="15">
        <f>E7-I7</f>
        <v>16954.95</v>
      </c>
      <c r="L7" s="15">
        <v>0</v>
      </c>
      <c r="M7" s="15">
        <v>3246.93</v>
      </c>
      <c r="N7" s="15">
        <f>M7-L7</f>
        <v>3246.93</v>
      </c>
      <c r="O7" s="15">
        <v>0</v>
      </c>
      <c r="P7" s="20">
        <f>E7*0.115</f>
        <v>1949.8192500000002</v>
      </c>
      <c r="Q7" s="15">
        <f>SUM(N7:P7)+G7</f>
        <v>7896.7492499999998</v>
      </c>
      <c r="R7" s="80">
        <f>K7-Q7</f>
        <v>9058.20075</v>
      </c>
      <c r="S7" s="11">
        <v>328.67</v>
      </c>
      <c r="T7" s="11">
        <v>3390.99</v>
      </c>
      <c r="U7" s="35">
        <f>SUM(S7:T7)</f>
        <v>3719.66</v>
      </c>
    </row>
    <row r="8" spans="2:21" x14ac:dyDescent="0.25">
      <c r="B8" t="s">
        <v>23</v>
      </c>
      <c r="C8" s="11" t="s">
        <v>24</v>
      </c>
      <c r="D8" t="s">
        <v>3</v>
      </c>
      <c r="E8" s="15">
        <v>4850</v>
      </c>
      <c r="F8" s="29">
        <v>15</v>
      </c>
      <c r="G8" s="73">
        <v>809</v>
      </c>
      <c r="H8" s="15"/>
      <c r="I8" s="15"/>
      <c r="J8" s="15"/>
      <c r="K8" s="15">
        <f>E8-I8</f>
        <v>4850</v>
      </c>
      <c r="L8" s="15">
        <v>0</v>
      </c>
      <c r="M8" s="15">
        <v>491.69</v>
      </c>
      <c r="N8" s="15">
        <f>M8-L8</f>
        <v>491.69</v>
      </c>
      <c r="O8" s="15">
        <v>0</v>
      </c>
      <c r="P8" s="20">
        <f>E8*0.115</f>
        <v>557.75</v>
      </c>
      <c r="Q8" s="15">
        <f>SUM(N8:P8)+G8</f>
        <v>1858.44</v>
      </c>
      <c r="R8" s="80">
        <f>K8-Q8</f>
        <v>2991.56</v>
      </c>
      <c r="S8" s="11">
        <v>253.58</v>
      </c>
      <c r="T8" s="11">
        <v>970</v>
      </c>
      <c r="U8" s="35">
        <f t="shared" ref="U8" si="0">SUM(S8:T8)</f>
        <v>1223.58</v>
      </c>
    </row>
    <row r="9" spans="2:21" x14ac:dyDescent="0.25">
      <c r="B9" s="7" t="s">
        <v>26</v>
      </c>
      <c r="C9" s="30"/>
      <c r="D9" s="30"/>
      <c r="E9" s="34">
        <f>SUM(E7:E8)</f>
        <v>21804.95</v>
      </c>
      <c r="F9" s="34"/>
      <c r="G9" s="34">
        <f>+G8+G7</f>
        <v>3509</v>
      </c>
      <c r="H9" s="34"/>
      <c r="I9" s="34">
        <f t="shared" ref="I9:U9" si="1">SUM(I7:I8)</f>
        <v>0</v>
      </c>
      <c r="J9" s="34">
        <f t="shared" si="1"/>
        <v>0</v>
      </c>
      <c r="K9" s="34">
        <f t="shared" si="1"/>
        <v>21804.95</v>
      </c>
      <c r="L9" s="34">
        <f t="shared" si="1"/>
        <v>0</v>
      </c>
      <c r="M9" s="34">
        <f t="shared" si="1"/>
        <v>3738.62</v>
      </c>
      <c r="N9" s="34">
        <f t="shared" si="1"/>
        <v>3738.62</v>
      </c>
      <c r="O9" s="34">
        <f t="shared" si="1"/>
        <v>0</v>
      </c>
      <c r="P9" s="34">
        <f>SUM(P7:P8)</f>
        <v>2507.5692500000005</v>
      </c>
      <c r="Q9" s="34">
        <f t="shared" si="1"/>
        <v>9755.1892499999994</v>
      </c>
      <c r="R9" s="34">
        <f t="shared" si="1"/>
        <v>12049.760749999999</v>
      </c>
      <c r="S9" s="34">
        <f t="shared" si="1"/>
        <v>582.25</v>
      </c>
      <c r="T9" s="34">
        <f t="shared" si="1"/>
        <v>4360.99</v>
      </c>
      <c r="U9" s="34">
        <f t="shared" si="1"/>
        <v>4943.24</v>
      </c>
    </row>
    <row r="10" spans="2:21" ht="10.5" hidden="1" customHeight="1" x14ac:dyDescent="0.25"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2:21" x14ac:dyDescent="0.25">
      <c r="B11" s="2" t="s">
        <v>27</v>
      </c>
      <c r="C11" s="2" t="s">
        <v>28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2:21" x14ac:dyDescent="0.25">
      <c r="B12" t="s">
        <v>32</v>
      </c>
      <c r="C12" s="11" t="s">
        <v>37</v>
      </c>
      <c r="D12" t="s">
        <v>1</v>
      </c>
      <c r="E12" s="15">
        <v>10000</v>
      </c>
      <c r="F12" s="29">
        <v>15</v>
      </c>
      <c r="G12" s="73">
        <v>3334</v>
      </c>
      <c r="H12" s="15"/>
      <c r="I12" s="15"/>
      <c r="J12" s="15"/>
      <c r="K12" s="15">
        <f t="shared" ref="K12:K19" si="2">E12-I12</f>
        <v>10000</v>
      </c>
      <c r="L12" s="15">
        <v>0</v>
      </c>
      <c r="M12" s="15">
        <v>1581.44</v>
      </c>
      <c r="N12" s="15">
        <f>M12-L12</f>
        <v>1581.44</v>
      </c>
      <c r="O12" s="15">
        <v>0</v>
      </c>
      <c r="P12" s="15">
        <f t="shared" ref="P12:P19" si="3">E12*0.115</f>
        <v>1150</v>
      </c>
      <c r="Q12" s="15">
        <f>SUM(N12:P12)+G12</f>
        <v>6065.4400000000005</v>
      </c>
      <c r="R12" s="80">
        <f t="shared" ref="R12:R19" si="4">K12-Q12</f>
        <v>3934.5599999999995</v>
      </c>
      <c r="S12" s="11">
        <v>285.52999999999997</v>
      </c>
      <c r="T12" s="11">
        <v>2000</v>
      </c>
      <c r="U12" s="35">
        <f>S12+T12</f>
        <v>2285.5299999999997</v>
      </c>
    </row>
    <row r="13" spans="2:21" x14ac:dyDescent="0.25">
      <c r="B13" t="s">
        <v>33</v>
      </c>
      <c r="C13" s="11" t="s">
        <v>38</v>
      </c>
      <c r="D13" t="s">
        <v>74</v>
      </c>
      <c r="E13" s="15">
        <v>5350</v>
      </c>
      <c r="F13" s="29">
        <v>15</v>
      </c>
      <c r="G13" s="15"/>
      <c r="H13" s="15"/>
      <c r="I13" s="72">
        <v>1.7</v>
      </c>
      <c r="J13" s="19"/>
      <c r="K13" s="15">
        <f>E13-I13</f>
        <v>5348.3</v>
      </c>
      <c r="L13" s="15">
        <v>0</v>
      </c>
      <c r="M13" s="15">
        <v>586.75</v>
      </c>
      <c r="N13" s="15">
        <v>588.20000000000005</v>
      </c>
      <c r="O13" s="15">
        <v>0</v>
      </c>
      <c r="P13" s="15">
        <f t="shared" si="3"/>
        <v>615.25</v>
      </c>
      <c r="Q13" s="15">
        <f t="shared" ref="Q13:Q19" si="5">SUM(N13:P13)+G13</f>
        <v>1203.45</v>
      </c>
      <c r="R13" s="80">
        <f t="shared" si="4"/>
        <v>4144.8500000000004</v>
      </c>
      <c r="S13" s="11">
        <v>256.68</v>
      </c>
      <c r="T13" s="11">
        <v>1070</v>
      </c>
      <c r="U13" s="35">
        <f>S13+T13</f>
        <v>1326.68</v>
      </c>
    </row>
    <row r="14" spans="2:21" x14ac:dyDescent="0.25">
      <c r="B14" t="s">
        <v>34</v>
      </c>
      <c r="C14" s="11" t="s">
        <v>178</v>
      </c>
      <c r="D14" t="s">
        <v>179</v>
      </c>
      <c r="E14" s="15">
        <v>5350</v>
      </c>
      <c r="F14" s="29">
        <v>15</v>
      </c>
      <c r="G14" s="15"/>
      <c r="H14" s="20"/>
      <c r="I14" s="19"/>
      <c r="J14" s="19"/>
      <c r="K14" s="15">
        <f>+E14+H14</f>
        <v>5350</v>
      </c>
      <c r="L14" s="15">
        <v>0</v>
      </c>
      <c r="M14" s="15">
        <v>586.75</v>
      </c>
      <c r="N14" s="15">
        <v>588.20000000000005</v>
      </c>
      <c r="O14" s="15">
        <v>0</v>
      </c>
      <c r="P14" s="15"/>
      <c r="Q14" s="15">
        <f>SUM(N14:P14)+G14</f>
        <v>588.20000000000005</v>
      </c>
      <c r="R14" s="80">
        <f>K14-Q14</f>
        <v>4761.8</v>
      </c>
      <c r="S14" s="11">
        <v>256.68</v>
      </c>
      <c r="T14" s="11">
        <v>0</v>
      </c>
      <c r="U14" s="35">
        <f>S14+T14</f>
        <v>256.68</v>
      </c>
    </row>
    <row r="15" spans="2:21" x14ac:dyDescent="0.25">
      <c r="B15" t="s">
        <v>35</v>
      </c>
      <c r="C15" t="s">
        <v>111</v>
      </c>
      <c r="D15" t="s">
        <v>77</v>
      </c>
      <c r="E15" s="15">
        <v>6000</v>
      </c>
      <c r="F15" s="29">
        <v>15</v>
      </c>
      <c r="G15" s="15"/>
      <c r="H15" s="15"/>
      <c r="I15" s="15"/>
      <c r="J15" s="15"/>
      <c r="K15" s="15">
        <f t="shared" si="2"/>
        <v>6000</v>
      </c>
      <c r="L15" s="15">
        <v>0</v>
      </c>
      <c r="M15" s="15">
        <v>727.04</v>
      </c>
      <c r="N15" s="15">
        <f t="shared" ref="N15:N19" si="6">M15-L15</f>
        <v>727.04</v>
      </c>
      <c r="O15" s="15">
        <v>0</v>
      </c>
      <c r="P15" s="15">
        <f t="shared" si="3"/>
        <v>690</v>
      </c>
      <c r="Q15" s="15">
        <f t="shared" si="5"/>
        <v>1417.04</v>
      </c>
      <c r="R15" s="80">
        <f t="shared" si="4"/>
        <v>4582.96</v>
      </c>
      <c r="S15" s="11">
        <v>260.72000000000003</v>
      </c>
      <c r="T15" s="11">
        <v>1200</v>
      </c>
      <c r="U15" s="35">
        <f>S15+T15</f>
        <v>1460.72</v>
      </c>
    </row>
    <row r="16" spans="2:21" x14ac:dyDescent="0.25">
      <c r="B16" t="s">
        <v>36</v>
      </c>
      <c r="C16" t="s">
        <v>86</v>
      </c>
      <c r="D16" t="s">
        <v>39</v>
      </c>
      <c r="E16" s="15">
        <v>4500</v>
      </c>
      <c r="F16" s="29">
        <v>15</v>
      </c>
      <c r="G16" s="73">
        <v>750</v>
      </c>
      <c r="H16" s="15"/>
      <c r="I16" s="15"/>
      <c r="J16" s="15"/>
      <c r="K16" s="15">
        <f t="shared" si="2"/>
        <v>4500</v>
      </c>
      <c r="L16" s="15">
        <v>0</v>
      </c>
      <c r="M16" s="15">
        <v>428.97</v>
      </c>
      <c r="N16" s="15">
        <f t="shared" si="6"/>
        <v>428.97</v>
      </c>
      <c r="O16" s="15">
        <v>0</v>
      </c>
      <c r="P16" s="15">
        <f t="shared" si="3"/>
        <v>517.5</v>
      </c>
      <c r="Q16" s="15">
        <f t="shared" si="5"/>
        <v>1696.47</v>
      </c>
      <c r="R16" s="80">
        <f t="shared" si="4"/>
        <v>2803.5299999999997</v>
      </c>
      <c r="S16" s="11">
        <v>251.41</v>
      </c>
      <c r="T16" s="11">
        <v>900</v>
      </c>
      <c r="U16" s="35">
        <f>S16+T16</f>
        <v>1151.4100000000001</v>
      </c>
    </row>
    <row r="17" spans="2:21" x14ac:dyDescent="0.25">
      <c r="B17" t="s">
        <v>115</v>
      </c>
      <c r="C17" t="s">
        <v>87</v>
      </c>
      <c r="D17" t="s">
        <v>39</v>
      </c>
      <c r="E17" s="15">
        <v>4500</v>
      </c>
      <c r="F17" s="29">
        <v>15</v>
      </c>
      <c r="G17" s="73">
        <v>610</v>
      </c>
      <c r="H17" s="15"/>
      <c r="I17" s="15"/>
      <c r="J17" s="15"/>
      <c r="K17" s="15">
        <f t="shared" si="2"/>
        <v>4500</v>
      </c>
      <c r="L17" s="15">
        <v>0</v>
      </c>
      <c r="M17" s="15">
        <v>428.97</v>
      </c>
      <c r="N17" s="15">
        <v>428.97</v>
      </c>
      <c r="O17" s="15">
        <v>0</v>
      </c>
      <c r="P17" s="15">
        <f t="shared" si="3"/>
        <v>517.5</v>
      </c>
      <c r="Q17" s="15">
        <f t="shared" si="5"/>
        <v>1556.47</v>
      </c>
      <c r="R17" s="80">
        <f t="shared" si="4"/>
        <v>2943.5299999999997</v>
      </c>
      <c r="S17" s="11">
        <v>251.41</v>
      </c>
      <c r="T17" s="11">
        <v>900</v>
      </c>
      <c r="U17" s="35">
        <f t="shared" ref="U17:U19" si="7">S17+T17</f>
        <v>1151.4100000000001</v>
      </c>
    </row>
    <row r="18" spans="2:21" x14ac:dyDescent="0.25">
      <c r="B18" t="s">
        <v>116</v>
      </c>
      <c r="C18" t="s">
        <v>89</v>
      </c>
      <c r="D18" t="s">
        <v>4</v>
      </c>
      <c r="E18" s="15">
        <v>2700</v>
      </c>
      <c r="F18" s="29">
        <v>15</v>
      </c>
      <c r="G18" s="73">
        <v>450</v>
      </c>
      <c r="H18" s="15"/>
      <c r="I18" s="15"/>
      <c r="J18" s="15"/>
      <c r="K18" s="15">
        <f t="shared" si="2"/>
        <v>2700</v>
      </c>
      <c r="L18" s="15">
        <v>147.32</v>
      </c>
      <c r="M18" s="15">
        <v>188.33</v>
      </c>
      <c r="N18" s="15">
        <f t="shared" si="6"/>
        <v>41.010000000000019</v>
      </c>
      <c r="O18" s="15">
        <v>0</v>
      </c>
      <c r="P18" s="20">
        <f t="shared" si="3"/>
        <v>310.5</v>
      </c>
      <c r="Q18" s="15">
        <f t="shared" si="5"/>
        <v>801.51</v>
      </c>
      <c r="R18" s="80">
        <f t="shared" si="4"/>
        <v>1898.49</v>
      </c>
      <c r="S18" s="11">
        <v>240.25</v>
      </c>
      <c r="T18" s="11">
        <v>540</v>
      </c>
      <c r="U18" s="35">
        <f t="shared" si="7"/>
        <v>780.25</v>
      </c>
    </row>
    <row r="19" spans="2:21" x14ac:dyDescent="0.25">
      <c r="B19" t="s">
        <v>117</v>
      </c>
      <c r="C19" t="s">
        <v>88</v>
      </c>
      <c r="D19" t="s">
        <v>40</v>
      </c>
      <c r="E19" s="15">
        <v>3150</v>
      </c>
      <c r="F19" s="29">
        <v>15</v>
      </c>
      <c r="G19" s="73">
        <v>1029</v>
      </c>
      <c r="H19" s="15"/>
      <c r="I19" s="15"/>
      <c r="J19" s="15"/>
      <c r="K19" s="15">
        <f t="shared" si="2"/>
        <v>3150</v>
      </c>
      <c r="L19" s="15">
        <v>126.77</v>
      </c>
      <c r="M19" s="15">
        <v>237.29</v>
      </c>
      <c r="N19" s="15">
        <f t="shared" si="6"/>
        <v>110.52</v>
      </c>
      <c r="O19" s="15">
        <v>0</v>
      </c>
      <c r="P19" s="20">
        <f t="shared" si="3"/>
        <v>362.25</v>
      </c>
      <c r="Q19" s="15">
        <f t="shared" si="5"/>
        <v>1501.77</v>
      </c>
      <c r="R19" s="80">
        <f t="shared" si="4"/>
        <v>1648.23</v>
      </c>
      <c r="S19" s="11">
        <v>243.04</v>
      </c>
      <c r="T19" s="11">
        <v>630</v>
      </c>
      <c r="U19" s="35">
        <f t="shared" si="7"/>
        <v>873.04</v>
      </c>
    </row>
    <row r="20" spans="2:21" x14ac:dyDescent="0.25">
      <c r="B20" s="2" t="s">
        <v>26</v>
      </c>
      <c r="C20" s="30"/>
      <c r="D20" s="30"/>
      <c r="E20" s="34">
        <f>SUM(E12:E19)</f>
        <v>41550</v>
      </c>
      <c r="F20" s="34"/>
      <c r="G20" s="34">
        <f>+G19+G18+G17+G16+G12</f>
        <v>6173</v>
      </c>
      <c r="H20" s="34"/>
      <c r="I20" s="34">
        <f t="shared" ref="I20:U20" si="8">SUM(I12:I19)</f>
        <v>1.7</v>
      </c>
      <c r="J20" s="34">
        <f t="shared" si="8"/>
        <v>0</v>
      </c>
      <c r="K20" s="34">
        <f t="shared" si="8"/>
        <v>41548.300000000003</v>
      </c>
      <c r="L20" s="34">
        <f t="shared" si="8"/>
        <v>274.08999999999997</v>
      </c>
      <c r="M20" s="34">
        <f t="shared" si="8"/>
        <v>4765.54</v>
      </c>
      <c r="N20" s="34">
        <f t="shared" si="8"/>
        <v>4494.3500000000013</v>
      </c>
      <c r="O20" s="34">
        <f t="shared" si="8"/>
        <v>0</v>
      </c>
      <c r="P20" s="34">
        <f>SUM(P12:P19)</f>
        <v>4163</v>
      </c>
      <c r="Q20" s="34">
        <f t="shared" si="8"/>
        <v>14830.35</v>
      </c>
      <c r="R20" s="34">
        <f t="shared" si="8"/>
        <v>26717.949999999997</v>
      </c>
      <c r="S20" s="34">
        <f t="shared" si="8"/>
        <v>2045.7200000000003</v>
      </c>
      <c r="T20" s="34">
        <f t="shared" si="8"/>
        <v>7240</v>
      </c>
      <c r="U20" s="34">
        <f t="shared" si="8"/>
        <v>9285.7200000000012</v>
      </c>
    </row>
    <row r="21" spans="2:21" hidden="1" x14ac:dyDescent="0.25">
      <c r="B21" s="2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2:21" x14ac:dyDescent="0.25">
      <c r="B22" s="2" t="s">
        <v>50</v>
      </c>
      <c r="C22" s="2" t="s">
        <v>160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2:21" x14ac:dyDescent="0.25">
      <c r="B23" t="s">
        <v>119</v>
      </c>
      <c r="C23" t="s">
        <v>91</v>
      </c>
      <c r="D23" t="s">
        <v>76</v>
      </c>
      <c r="E23" s="15">
        <v>5350</v>
      </c>
      <c r="F23" s="29">
        <v>15</v>
      </c>
      <c r="G23" s="15"/>
      <c r="H23" s="15"/>
      <c r="I23" s="71"/>
      <c r="J23" s="15"/>
      <c r="K23" s="15">
        <f>E23-I23</f>
        <v>5350</v>
      </c>
      <c r="L23" s="15">
        <v>0</v>
      </c>
      <c r="M23" s="15">
        <v>453.47</v>
      </c>
      <c r="N23" s="15">
        <v>588.20000000000005</v>
      </c>
      <c r="O23" s="15">
        <v>0</v>
      </c>
      <c r="P23" s="20">
        <f>E23*0.115</f>
        <v>615.25</v>
      </c>
      <c r="Q23" s="15">
        <f>SUM(N23:P23)+G23</f>
        <v>1203.45</v>
      </c>
      <c r="R23" s="80">
        <f>K23-Q23</f>
        <v>4146.55</v>
      </c>
      <c r="S23" s="11">
        <v>256.68</v>
      </c>
      <c r="T23" s="11">
        <v>1070</v>
      </c>
      <c r="U23" s="35">
        <f>S23+T23</f>
        <v>1326.68</v>
      </c>
    </row>
    <row r="24" spans="2:21" x14ac:dyDescent="0.25">
      <c r="B24" t="s">
        <v>120</v>
      </c>
      <c r="C24" t="s">
        <v>93</v>
      </c>
      <c r="D24" t="s">
        <v>78</v>
      </c>
      <c r="E24" s="15">
        <v>5350</v>
      </c>
      <c r="F24" s="29">
        <v>15</v>
      </c>
      <c r="G24" s="15"/>
      <c r="H24" s="15"/>
      <c r="I24" s="71"/>
      <c r="J24" s="15"/>
      <c r="K24" s="15">
        <f>E24-I24</f>
        <v>5350</v>
      </c>
      <c r="L24" s="15">
        <v>0</v>
      </c>
      <c r="M24" s="15">
        <v>588.20000000000005</v>
      </c>
      <c r="N24" s="15">
        <f>M24-L24</f>
        <v>588.20000000000005</v>
      </c>
      <c r="O24" s="15">
        <v>0</v>
      </c>
      <c r="P24" s="20">
        <f>E24*0.115</f>
        <v>615.25</v>
      </c>
      <c r="Q24" s="15">
        <f>SUM(N24:P24)+G24</f>
        <v>1203.45</v>
      </c>
      <c r="R24" s="80">
        <f>K24-Q24</f>
        <v>4146.55</v>
      </c>
      <c r="S24" s="11">
        <v>256.68</v>
      </c>
      <c r="T24" s="11">
        <v>1070</v>
      </c>
      <c r="U24" s="35">
        <f>S24+T24</f>
        <v>1326.68</v>
      </c>
    </row>
    <row r="25" spans="2:21" x14ac:dyDescent="0.25">
      <c r="B25" t="s">
        <v>121</v>
      </c>
      <c r="C25" t="s">
        <v>114</v>
      </c>
      <c r="D25" t="s">
        <v>186</v>
      </c>
      <c r="E25" s="15">
        <v>5350</v>
      </c>
      <c r="F25" s="29">
        <v>15</v>
      </c>
      <c r="G25" s="15"/>
      <c r="H25" s="15"/>
      <c r="I25" s="15"/>
      <c r="J25" s="15"/>
      <c r="K25" s="15">
        <f>E25-I25</f>
        <v>5350</v>
      </c>
      <c r="L25" s="15">
        <v>0</v>
      </c>
      <c r="M25" s="15">
        <v>588.20000000000005</v>
      </c>
      <c r="N25" s="15">
        <f>M25-L25</f>
        <v>588.20000000000005</v>
      </c>
      <c r="O25" s="15">
        <v>0</v>
      </c>
      <c r="P25" s="20">
        <f>E25*0.115</f>
        <v>615.25</v>
      </c>
      <c r="Q25" s="15">
        <f>SUM(N25:P25)+G25</f>
        <v>1203.45</v>
      </c>
      <c r="R25" s="80">
        <f>K25-Q25</f>
        <v>4146.55</v>
      </c>
      <c r="S25" s="11">
        <v>256.68</v>
      </c>
      <c r="T25" s="11">
        <v>1070</v>
      </c>
      <c r="U25" s="35">
        <f>S25+T25</f>
        <v>1326.68</v>
      </c>
    </row>
    <row r="26" spans="2:21" x14ac:dyDescent="0.25">
      <c r="B26" s="2" t="s">
        <v>26</v>
      </c>
      <c r="C26" s="30"/>
      <c r="D26" s="30"/>
      <c r="E26" s="34">
        <f>SUM(E23:E25)</f>
        <v>16050</v>
      </c>
      <c r="F26" s="34"/>
      <c r="G26" s="34">
        <f>+G25+G24+G23</f>
        <v>0</v>
      </c>
      <c r="H26" s="34"/>
      <c r="I26" s="34">
        <f>SUM(I23:I25)</f>
        <v>0</v>
      </c>
      <c r="J26" s="34">
        <f>SUM(J23:J25)</f>
        <v>0</v>
      </c>
      <c r="K26" s="34">
        <f t="shared" ref="K26:U26" si="9">SUM(K23:K25)</f>
        <v>16050</v>
      </c>
      <c r="L26" s="34">
        <f t="shared" si="9"/>
        <v>0</v>
      </c>
      <c r="M26" s="34">
        <f t="shared" si="9"/>
        <v>1629.8700000000001</v>
      </c>
      <c r="N26" s="34">
        <f t="shared" si="9"/>
        <v>1764.6000000000001</v>
      </c>
      <c r="O26" s="34">
        <f t="shared" si="9"/>
        <v>0</v>
      </c>
      <c r="P26" s="34">
        <f>SUM(P23:P25)</f>
        <v>1845.75</v>
      </c>
      <c r="Q26" s="34">
        <f t="shared" si="9"/>
        <v>3610.3500000000004</v>
      </c>
      <c r="R26" s="34">
        <f t="shared" si="9"/>
        <v>12439.650000000001</v>
      </c>
      <c r="S26" s="34">
        <f t="shared" si="9"/>
        <v>770.04</v>
      </c>
      <c r="T26" s="34">
        <f t="shared" si="9"/>
        <v>3210</v>
      </c>
      <c r="U26" s="34">
        <f t="shared" si="9"/>
        <v>3980.04</v>
      </c>
    </row>
    <row r="27" spans="2:21" hidden="1" x14ac:dyDescent="0.25"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2:21" x14ac:dyDescent="0.25">
      <c r="B28" s="2" t="s">
        <v>63</v>
      </c>
      <c r="C28" s="2" t="s">
        <v>51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2:21" x14ac:dyDescent="0.25">
      <c r="B29" t="s">
        <v>122</v>
      </c>
      <c r="C29" t="s">
        <v>97</v>
      </c>
      <c r="D29" t="s">
        <v>80</v>
      </c>
      <c r="E29" s="15">
        <v>5350</v>
      </c>
      <c r="F29" s="29">
        <v>15</v>
      </c>
      <c r="G29" s="15"/>
      <c r="H29" s="15"/>
      <c r="I29" s="15"/>
      <c r="J29" s="15"/>
      <c r="K29" s="15">
        <f t="shared" ref="K29:K39" si="10">E29-I29</f>
        <v>5350</v>
      </c>
      <c r="L29" s="15">
        <v>0</v>
      </c>
      <c r="M29" s="15">
        <v>588.20000000000005</v>
      </c>
      <c r="N29" s="15">
        <f>M29-L29</f>
        <v>588.20000000000005</v>
      </c>
      <c r="O29" s="15">
        <v>0</v>
      </c>
      <c r="P29" s="20">
        <f>E29*0.115</f>
        <v>615.25</v>
      </c>
      <c r="Q29" s="15">
        <f t="shared" ref="Q29:Q39" si="11">SUM(N29:P29)+G29</f>
        <v>1203.45</v>
      </c>
      <c r="R29" s="80">
        <f t="shared" ref="R29:R39" si="12">K29-Q29</f>
        <v>4146.55</v>
      </c>
      <c r="S29" s="11">
        <v>256.68</v>
      </c>
      <c r="T29" s="11">
        <v>1070</v>
      </c>
      <c r="U29" s="35">
        <f t="shared" ref="U29:U39" si="13">S29+T29</f>
        <v>1326.68</v>
      </c>
    </row>
    <row r="30" spans="2:21" x14ac:dyDescent="0.25">
      <c r="B30" t="s">
        <v>123</v>
      </c>
      <c r="C30" t="s">
        <v>100</v>
      </c>
      <c r="D30" t="s">
        <v>80</v>
      </c>
      <c r="E30" s="15">
        <v>5350</v>
      </c>
      <c r="F30" s="29">
        <v>15</v>
      </c>
      <c r="G30" s="15"/>
      <c r="H30" s="15"/>
      <c r="I30" s="77"/>
      <c r="J30" s="20"/>
      <c r="K30" s="20">
        <f t="shared" si="10"/>
        <v>5350</v>
      </c>
      <c r="L30" s="20">
        <v>0</v>
      </c>
      <c r="M30" s="20">
        <v>587.48</v>
      </c>
      <c r="N30" s="20">
        <v>588.20000000000005</v>
      </c>
      <c r="O30" s="15">
        <v>0</v>
      </c>
      <c r="P30" s="20">
        <f t="shared" ref="P30:P39" si="14">E30*0.115</f>
        <v>615.25</v>
      </c>
      <c r="Q30" s="15">
        <f t="shared" si="11"/>
        <v>1203.45</v>
      </c>
      <c r="R30" s="80">
        <f t="shared" si="12"/>
        <v>4146.55</v>
      </c>
      <c r="S30" s="11">
        <v>256.68</v>
      </c>
      <c r="T30" s="11">
        <v>1070</v>
      </c>
      <c r="U30" s="35">
        <f t="shared" si="13"/>
        <v>1326.68</v>
      </c>
    </row>
    <row r="31" spans="2:21" x14ac:dyDescent="0.25">
      <c r="B31" t="s">
        <v>124</v>
      </c>
      <c r="C31" t="s">
        <v>96</v>
      </c>
      <c r="D31" t="s">
        <v>78</v>
      </c>
      <c r="E31" s="15">
        <v>5350</v>
      </c>
      <c r="F31" s="29">
        <v>15</v>
      </c>
      <c r="G31" s="15"/>
      <c r="H31" s="15"/>
      <c r="I31" s="20"/>
      <c r="J31" s="20"/>
      <c r="K31" s="20">
        <f t="shared" si="10"/>
        <v>5350</v>
      </c>
      <c r="L31" s="20">
        <v>0</v>
      </c>
      <c r="M31" s="20">
        <v>588.20000000000005</v>
      </c>
      <c r="N31" s="20">
        <f t="shared" ref="N31:N39" si="15">M31-L31</f>
        <v>588.20000000000005</v>
      </c>
      <c r="O31" s="15">
        <v>0</v>
      </c>
      <c r="P31" s="20">
        <f t="shared" si="14"/>
        <v>615.25</v>
      </c>
      <c r="Q31" s="15">
        <f t="shared" si="11"/>
        <v>1203.45</v>
      </c>
      <c r="R31" s="80">
        <f t="shared" si="12"/>
        <v>4146.55</v>
      </c>
      <c r="S31" s="11">
        <v>256.68</v>
      </c>
      <c r="T31" s="11">
        <v>1070</v>
      </c>
      <c r="U31" s="35">
        <f t="shared" si="13"/>
        <v>1326.68</v>
      </c>
    </row>
    <row r="32" spans="2:21" x14ac:dyDescent="0.25">
      <c r="B32" t="s">
        <v>125</v>
      </c>
      <c r="C32" t="s">
        <v>104</v>
      </c>
      <c r="D32" t="s">
        <v>78</v>
      </c>
      <c r="E32" s="15">
        <v>5350</v>
      </c>
      <c r="F32" s="29">
        <v>15</v>
      </c>
      <c r="G32" s="15"/>
      <c r="H32" s="15"/>
      <c r="I32" s="72">
        <v>1.7</v>
      </c>
      <c r="J32" s="20"/>
      <c r="K32" s="20">
        <f t="shared" si="10"/>
        <v>5348.3</v>
      </c>
      <c r="L32" s="20">
        <v>0</v>
      </c>
      <c r="M32" s="20">
        <v>588.20000000000005</v>
      </c>
      <c r="N32" s="20">
        <f t="shared" si="15"/>
        <v>588.20000000000005</v>
      </c>
      <c r="O32" s="15">
        <v>0</v>
      </c>
      <c r="P32" s="20">
        <f t="shared" si="14"/>
        <v>615.25</v>
      </c>
      <c r="Q32" s="15">
        <f t="shared" si="11"/>
        <v>1203.45</v>
      </c>
      <c r="R32" s="80">
        <f t="shared" si="12"/>
        <v>4144.8500000000004</v>
      </c>
      <c r="S32" s="11">
        <v>256.68</v>
      </c>
      <c r="T32" s="11">
        <v>1070</v>
      </c>
      <c r="U32" s="35">
        <f t="shared" si="13"/>
        <v>1326.68</v>
      </c>
    </row>
    <row r="33" spans="2:21" x14ac:dyDescent="0.25">
      <c r="B33" t="s">
        <v>126</v>
      </c>
      <c r="C33" t="s">
        <v>94</v>
      </c>
      <c r="D33" t="s">
        <v>81</v>
      </c>
      <c r="E33" s="15">
        <v>5350</v>
      </c>
      <c r="F33" s="29">
        <v>15</v>
      </c>
      <c r="G33" s="73">
        <v>595</v>
      </c>
      <c r="H33" s="15"/>
      <c r="I33" s="72">
        <v>8.5</v>
      </c>
      <c r="J33" s="20"/>
      <c r="K33" s="20">
        <f>E33-I33</f>
        <v>5341.5</v>
      </c>
      <c r="L33" s="20">
        <v>0</v>
      </c>
      <c r="M33" s="20">
        <v>517.23</v>
      </c>
      <c r="N33" s="20">
        <v>588.02</v>
      </c>
      <c r="O33" s="15">
        <v>0</v>
      </c>
      <c r="P33" s="20">
        <f t="shared" si="14"/>
        <v>615.25</v>
      </c>
      <c r="Q33" s="15">
        <f t="shared" si="11"/>
        <v>1798.27</v>
      </c>
      <c r="R33" s="80">
        <f>K33-Q33</f>
        <v>3543.23</v>
      </c>
      <c r="S33" s="11">
        <v>256.68</v>
      </c>
      <c r="T33" s="11">
        <v>1070</v>
      </c>
      <c r="U33" s="35">
        <f t="shared" si="13"/>
        <v>1326.68</v>
      </c>
    </row>
    <row r="34" spans="2:21" x14ac:dyDescent="0.25">
      <c r="B34" t="s">
        <v>127</v>
      </c>
      <c r="C34" t="s">
        <v>98</v>
      </c>
      <c r="D34" t="s">
        <v>81</v>
      </c>
      <c r="E34" s="15">
        <v>5350</v>
      </c>
      <c r="F34" s="29">
        <v>15</v>
      </c>
      <c r="G34" s="15"/>
      <c r="H34" s="20"/>
      <c r="I34" s="77"/>
      <c r="J34" s="20"/>
      <c r="K34" s="20">
        <f>E34-I34</f>
        <v>5350</v>
      </c>
      <c r="L34" s="20">
        <v>0</v>
      </c>
      <c r="M34" s="20">
        <v>588.20000000000005</v>
      </c>
      <c r="N34" s="20">
        <f t="shared" si="15"/>
        <v>588.20000000000005</v>
      </c>
      <c r="O34" s="15">
        <v>0</v>
      </c>
      <c r="P34" s="20">
        <f>E34*0.115</f>
        <v>615.25</v>
      </c>
      <c r="Q34" s="15">
        <f>SUM(N34:P34)+G34</f>
        <v>1203.45</v>
      </c>
      <c r="R34" s="80">
        <f>K34-Q34</f>
        <v>4146.55</v>
      </c>
      <c r="S34" s="11">
        <v>256.68</v>
      </c>
      <c r="T34" s="11">
        <v>1070</v>
      </c>
      <c r="U34" s="35">
        <f t="shared" si="13"/>
        <v>1326.68</v>
      </c>
    </row>
    <row r="35" spans="2:21" x14ac:dyDescent="0.25">
      <c r="B35" t="s">
        <v>128</v>
      </c>
      <c r="C35" t="s">
        <v>101</v>
      </c>
      <c r="D35" t="s">
        <v>81</v>
      </c>
      <c r="E35" s="15">
        <v>5350</v>
      </c>
      <c r="F35" s="29">
        <v>15</v>
      </c>
      <c r="G35" s="15"/>
      <c r="H35" s="15"/>
      <c r="I35" s="71"/>
      <c r="J35" s="20"/>
      <c r="K35" s="20">
        <f>E35-I35</f>
        <v>5350</v>
      </c>
      <c r="L35" s="20">
        <v>0</v>
      </c>
      <c r="M35" s="15">
        <v>588.20000000000005</v>
      </c>
      <c r="N35" s="15">
        <f>M35-L35</f>
        <v>588.20000000000005</v>
      </c>
      <c r="O35" s="15">
        <v>0</v>
      </c>
      <c r="P35" s="20">
        <f t="shared" si="14"/>
        <v>615.25</v>
      </c>
      <c r="Q35" s="15">
        <f>SUM(N35:P35)+G35</f>
        <v>1203.45</v>
      </c>
      <c r="R35" s="80">
        <f>K35-Q35</f>
        <v>4146.55</v>
      </c>
      <c r="S35" s="11">
        <v>256.68</v>
      </c>
      <c r="T35" s="11">
        <v>1070</v>
      </c>
      <c r="U35" s="35">
        <f t="shared" si="13"/>
        <v>1326.68</v>
      </c>
    </row>
    <row r="36" spans="2:21" x14ac:dyDescent="0.25">
      <c r="B36" t="s">
        <v>129</v>
      </c>
      <c r="C36" t="s">
        <v>95</v>
      </c>
      <c r="D36" t="s">
        <v>82</v>
      </c>
      <c r="E36" s="15">
        <v>5350</v>
      </c>
      <c r="F36" s="29">
        <v>15</v>
      </c>
      <c r="G36" s="73">
        <v>1190</v>
      </c>
      <c r="H36" s="15"/>
      <c r="I36" s="15"/>
      <c r="J36" s="15"/>
      <c r="K36" s="15">
        <f t="shared" si="10"/>
        <v>5350</v>
      </c>
      <c r="L36" s="15">
        <v>0</v>
      </c>
      <c r="M36" s="15">
        <v>588.20000000000005</v>
      </c>
      <c r="N36" s="15">
        <f t="shared" si="15"/>
        <v>588.20000000000005</v>
      </c>
      <c r="O36" s="15">
        <v>0</v>
      </c>
      <c r="P36" s="20">
        <f t="shared" si="14"/>
        <v>615.25</v>
      </c>
      <c r="Q36" s="15">
        <f t="shared" si="11"/>
        <v>2393.4499999999998</v>
      </c>
      <c r="R36" s="80">
        <f t="shared" si="12"/>
        <v>2956.55</v>
      </c>
      <c r="S36" s="11">
        <v>256.68</v>
      </c>
      <c r="T36" s="11">
        <v>1070</v>
      </c>
      <c r="U36" s="35">
        <f t="shared" si="13"/>
        <v>1326.68</v>
      </c>
    </row>
    <row r="37" spans="2:21" x14ac:dyDescent="0.25">
      <c r="B37" t="s">
        <v>130</v>
      </c>
      <c r="C37" t="s">
        <v>102</v>
      </c>
      <c r="D37" t="s">
        <v>82</v>
      </c>
      <c r="E37" s="15">
        <v>5350</v>
      </c>
      <c r="F37" s="29">
        <v>15</v>
      </c>
      <c r="G37" s="73">
        <v>927.62</v>
      </c>
      <c r="H37" s="15"/>
      <c r="I37" s="15"/>
      <c r="J37" s="15"/>
      <c r="K37" s="15">
        <f t="shared" si="10"/>
        <v>5350</v>
      </c>
      <c r="L37" s="15">
        <v>0</v>
      </c>
      <c r="M37" s="15">
        <v>586.03</v>
      </c>
      <c r="N37" s="15">
        <v>588.20000000000005</v>
      </c>
      <c r="O37" s="15">
        <v>0</v>
      </c>
      <c r="P37" s="20">
        <f t="shared" si="14"/>
        <v>615.25</v>
      </c>
      <c r="Q37" s="15">
        <f>SUM(N37:P37)+G37</f>
        <v>2131.0700000000002</v>
      </c>
      <c r="R37" s="80">
        <f t="shared" si="12"/>
        <v>3218.93</v>
      </c>
      <c r="S37" s="11">
        <v>256.68</v>
      </c>
      <c r="T37" s="11">
        <v>1070</v>
      </c>
      <c r="U37" s="35">
        <f t="shared" si="13"/>
        <v>1326.68</v>
      </c>
    </row>
    <row r="38" spans="2:21" x14ac:dyDescent="0.25">
      <c r="B38" t="s">
        <v>131</v>
      </c>
      <c r="C38" t="s">
        <v>85</v>
      </c>
      <c r="D38" t="s">
        <v>83</v>
      </c>
      <c r="E38" s="15">
        <v>5350</v>
      </c>
      <c r="F38" s="29">
        <v>15</v>
      </c>
      <c r="G38" s="73">
        <v>1784</v>
      </c>
      <c r="H38" s="15"/>
      <c r="I38" s="15"/>
      <c r="J38" s="15"/>
      <c r="K38" s="15">
        <f t="shared" si="10"/>
        <v>5350</v>
      </c>
      <c r="L38" s="15">
        <v>0</v>
      </c>
      <c r="M38" s="15">
        <v>588.20000000000005</v>
      </c>
      <c r="N38" s="15">
        <f t="shared" si="15"/>
        <v>588.20000000000005</v>
      </c>
      <c r="O38" s="15">
        <v>0</v>
      </c>
      <c r="P38" s="20">
        <f t="shared" si="14"/>
        <v>615.25</v>
      </c>
      <c r="Q38" s="15">
        <f t="shared" si="11"/>
        <v>2987.45</v>
      </c>
      <c r="R38" s="80">
        <f t="shared" si="12"/>
        <v>2362.5500000000002</v>
      </c>
      <c r="S38" s="11">
        <v>256.68</v>
      </c>
      <c r="T38" s="11">
        <v>1070</v>
      </c>
      <c r="U38" s="35">
        <f t="shared" si="13"/>
        <v>1326.68</v>
      </c>
    </row>
    <row r="39" spans="2:21" x14ac:dyDescent="0.25">
      <c r="B39" t="s">
        <v>132</v>
      </c>
      <c r="C39" t="s">
        <v>103</v>
      </c>
      <c r="D39" t="s">
        <v>83</v>
      </c>
      <c r="E39" s="15">
        <v>5350</v>
      </c>
      <c r="F39" s="29">
        <v>15</v>
      </c>
      <c r="G39" s="73">
        <v>1900</v>
      </c>
      <c r="H39" s="15"/>
      <c r="I39" s="15"/>
      <c r="J39" s="15"/>
      <c r="K39" s="15">
        <f t="shared" si="10"/>
        <v>5350</v>
      </c>
      <c r="L39" s="15">
        <v>0</v>
      </c>
      <c r="M39" s="15">
        <v>588.20000000000005</v>
      </c>
      <c r="N39" s="15">
        <f t="shared" si="15"/>
        <v>588.20000000000005</v>
      </c>
      <c r="O39" s="15">
        <v>0</v>
      </c>
      <c r="P39" s="20">
        <f t="shared" si="14"/>
        <v>615.25</v>
      </c>
      <c r="Q39" s="15">
        <f t="shared" si="11"/>
        <v>3103.45</v>
      </c>
      <c r="R39" s="80">
        <f t="shared" si="12"/>
        <v>2246.5500000000002</v>
      </c>
      <c r="S39" s="11">
        <v>256.68</v>
      </c>
      <c r="T39" s="11">
        <v>1070</v>
      </c>
      <c r="U39" s="35">
        <f t="shared" si="13"/>
        <v>1326.68</v>
      </c>
    </row>
    <row r="40" spans="2:21" x14ac:dyDescent="0.25">
      <c r="B40" s="2" t="s">
        <v>26</v>
      </c>
      <c r="C40" s="30"/>
      <c r="D40" s="30"/>
      <c r="E40" s="34">
        <f>SUM(E29:E39)</f>
        <v>58850</v>
      </c>
      <c r="F40" s="34"/>
      <c r="G40" s="34">
        <f>+G39+G38+G37+G36+G35+G34+G33</f>
        <v>6396.62</v>
      </c>
      <c r="H40" s="34"/>
      <c r="I40" s="34">
        <f>SUM(I29:I39)</f>
        <v>10.199999999999999</v>
      </c>
      <c r="J40" s="34">
        <f>SUM(J29:J39)</f>
        <v>0</v>
      </c>
      <c r="K40" s="34">
        <f>SUM(K29:K39)</f>
        <v>58839.8</v>
      </c>
      <c r="L40" s="34">
        <f t="shared" ref="L40:U40" si="16">SUM(L29:L39)</f>
        <v>0</v>
      </c>
      <c r="M40" s="34">
        <f t="shared" si="16"/>
        <v>6396.3399999999992</v>
      </c>
      <c r="N40" s="34">
        <f t="shared" si="16"/>
        <v>6470.0199999999995</v>
      </c>
      <c r="O40" s="34">
        <f t="shared" si="16"/>
        <v>0</v>
      </c>
      <c r="P40" s="34">
        <f>SUM(P29:P39)</f>
        <v>6767.75</v>
      </c>
      <c r="Q40" s="34">
        <f t="shared" si="16"/>
        <v>19634.39</v>
      </c>
      <c r="R40" s="34">
        <f t="shared" si="16"/>
        <v>39205.410000000003</v>
      </c>
      <c r="S40" s="34">
        <f t="shared" si="16"/>
        <v>2823.4799999999996</v>
      </c>
      <c r="T40" s="34">
        <f t="shared" si="16"/>
        <v>11770</v>
      </c>
      <c r="U40" s="34">
        <f t="shared" si="16"/>
        <v>14593.480000000001</v>
      </c>
    </row>
    <row r="41" spans="2:21" hidden="1" x14ac:dyDescent="0.25"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2:21" x14ac:dyDescent="0.25">
      <c r="B42" s="2" t="s">
        <v>140</v>
      </c>
      <c r="C42" s="2" t="s">
        <v>64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2:21" x14ac:dyDescent="0.25">
      <c r="B43" t="s">
        <v>133</v>
      </c>
      <c r="C43" t="s">
        <v>99</v>
      </c>
      <c r="D43" t="s">
        <v>80</v>
      </c>
      <c r="E43" s="15">
        <v>5350</v>
      </c>
      <c r="F43" s="29">
        <v>15</v>
      </c>
      <c r="G43" s="15"/>
      <c r="H43" s="15"/>
      <c r="I43" s="77"/>
      <c r="J43" s="20"/>
      <c r="K43" s="20">
        <f>E43-I43</f>
        <v>5350</v>
      </c>
      <c r="L43" s="20">
        <v>0</v>
      </c>
      <c r="M43" s="20">
        <v>586.21</v>
      </c>
      <c r="N43" s="20">
        <v>588.20000000000005</v>
      </c>
      <c r="O43" s="15">
        <v>0</v>
      </c>
      <c r="P43" s="15">
        <f t="shared" ref="P43" si="17">E43*0.115</f>
        <v>615.25</v>
      </c>
      <c r="Q43" s="15">
        <f>SUM(N43:P43)+G43</f>
        <v>1203.45</v>
      </c>
      <c r="R43" s="80">
        <f>K43-Q43</f>
        <v>4146.55</v>
      </c>
      <c r="S43" s="11">
        <v>256.68</v>
      </c>
      <c r="T43" s="11">
        <v>1070</v>
      </c>
      <c r="U43" s="35">
        <f t="shared" ref="U43:U44" si="18">S43+T43</f>
        <v>1326.68</v>
      </c>
    </row>
    <row r="44" spans="2:21" x14ac:dyDescent="0.25">
      <c r="B44" t="s">
        <v>152</v>
      </c>
      <c r="C44" t="s">
        <v>92</v>
      </c>
      <c r="D44" t="s">
        <v>80</v>
      </c>
      <c r="E44" s="15">
        <v>5350</v>
      </c>
      <c r="F44" s="29">
        <v>15</v>
      </c>
      <c r="G44" s="15"/>
      <c r="H44" s="15"/>
      <c r="I44" s="15"/>
      <c r="J44" s="15"/>
      <c r="K44" s="15">
        <f>E44-I44</f>
        <v>5350</v>
      </c>
      <c r="L44" s="15">
        <v>0</v>
      </c>
      <c r="M44" s="15">
        <v>588.20000000000005</v>
      </c>
      <c r="N44" s="15">
        <v>588.20000000000005</v>
      </c>
      <c r="O44" s="15">
        <v>0</v>
      </c>
      <c r="P44" s="15">
        <f>K44*0.115</f>
        <v>615.25</v>
      </c>
      <c r="Q44" s="15">
        <f>SUM(N44:P44)+G44</f>
        <v>1203.45</v>
      </c>
      <c r="R44" s="80">
        <f>K44-Q44</f>
        <v>4146.55</v>
      </c>
      <c r="S44" s="11">
        <v>256.68</v>
      </c>
      <c r="T44" s="11">
        <v>1070</v>
      </c>
      <c r="U44" s="35">
        <f t="shared" si="18"/>
        <v>1326.68</v>
      </c>
    </row>
    <row r="45" spans="2:21" x14ac:dyDescent="0.25">
      <c r="B45" s="2" t="s">
        <v>26</v>
      </c>
      <c r="C45" s="30"/>
      <c r="D45" s="30"/>
      <c r="E45" s="34">
        <f>E43+E44</f>
        <v>10700</v>
      </c>
      <c r="F45" s="34"/>
      <c r="G45" s="34">
        <f>+G44+G43</f>
        <v>0</v>
      </c>
      <c r="H45" s="34"/>
      <c r="I45" s="34">
        <f>I43+I44</f>
        <v>0</v>
      </c>
      <c r="J45" s="34">
        <f>J43+J44</f>
        <v>0</v>
      </c>
      <c r="K45" s="34">
        <f t="shared" ref="K45:U45" si="19">K43+K44</f>
        <v>10700</v>
      </c>
      <c r="L45" s="34">
        <f t="shared" si="19"/>
        <v>0</v>
      </c>
      <c r="M45" s="34">
        <f t="shared" si="19"/>
        <v>1174.4100000000001</v>
      </c>
      <c r="N45" s="34">
        <f t="shared" si="19"/>
        <v>1176.4000000000001</v>
      </c>
      <c r="O45" s="34">
        <f t="shared" si="19"/>
        <v>0</v>
      </c>
      <c r="P45" s="34">
        <f>P43+P44</f>
        <v>1230.5</v>
      </c>
      <c r="Q45" s="34">
        <f t="shared" si="19"/>
        <v>2406.9</v>
      </c>
      <c r="R45" s="34">
        <f t="shared" si="19"/>
        <v>8293.1</v>
      </c>
      <c r="S45" s="34">
        <f t="shared" si="19"/>
        <v>513.36</v>
      </c>
      <c r="T45" s="34">
        <f t="shared" si="19"/>
        <v>2140</v>
      </c>
      <c r="U45" s="34">
        <f t="shared" si="19"/>
        <v>2653.36</v>
      </c>
    </row>
    <row r="46" spans="2:21" hidden="1" x14ac:dyDescent="0.25">
      <c r="B46" s="2"/>
      <c r="E46" s="15"/>
      <c r="F46" s="15"/>
      <c r="G46" s="15"/>
      <c r="H46" s="15"/>
      <c r="I46" s="15"/>
      <c r="J46" s="15"/>
      <c r="K46" s="16"/>
      <c r="L46" s="16"/>
      <c r="M46" s="16"/>
      <c r="N46" s="16"/>
      <c r="O46" s="16"/>
      <c r="P46" s="16"/>
      <c r="Q46" s="16"/>
      <c r="R46" s="16"/>
      <c r="S46" s="8"/>
      <c r="T46" s="8"/>
      <c r="U46" s="8"/>
    </row>
    <row r="47" spans="2:21" x14ac:dyDescent="0.25">
      <c r="B47" s="2" t="s">
        <v>161</v>
      </c>
      <c r="C47" s="2" t="s">
        <v>162</v>
      </c>
      <c r="E47" s="15"/>
      <c r="F47" s="15"/>
      <c r="G47" s="15"/>
      <c r="H47" s="15"/>
      <c r="I47" s="15"/>
      <c r="J47" s="15"/>
      <c r="K47" s="16"/>
      <c r="L47" s="16"/>
      <c r="M47" s="16"/>
      <c r="N47" s="16"/>
      <c r="O47" s="16"/>
      <c r="P47" s="16"/>
      <c r="Q47" s="16"/>
      <c r="R47" s="16"/>
      <c r="S47" s="8"/>
      <c r="T47" s="8"/>
      <c r="U47" s="8"/>
    </row>
    <row r="48" spans="2:21" x14ac:dyDescent="0.25">
      <c r="B48" t="s">
        <v>163</v>
      </c>
      <c r="C48" s="11" t="s">
        <v>42</v>
      </c>
      <c r="D48" t="s">
        <v>2</v>
      </c>
      <c r="E48" s="15">
        <v>10000</v>
      </c>
      <c r="F48" s="29">
        <v>15</v>
      </c>
      <c r="G48" s="15"/>
      <c r="H48" s="15"/>
      <c r="I48" s="15"/>
      <c r="J48" s="15"/>
      <c r="K48" s="15">
        <f>E48-I48</f>
        <v>10000</v>
      </c>
      <c r="L48" s="15">
        <v>0</v>
      </c>
      <c r="M48" s="15">
        <v>1581.44</v>
      </c>
      <c r="N48" s="15">
        <f>M48-L48</f>
        <v>1581.44</v>
      </c>
      <c r="O48" s="15">
        <v>0</v>
      </c>
      <c r="P48" s="15">
        <f>E48*0.115</f>
        <v>1150</v>
      </c>
      <c r="Q48" s="15">
        <f>SUM(N48:P48)+G48</f>
        <v>2731.44</v>
      </c>
      <c r="R48" s="80">
        <f>K48-Q48</f>
        <v>7268.5599999999995</v>
      </c>
      <c r="S48" s="11">
        <v>285.52999999999997</v>
      </c>
      <c r="T48" s="11">
        <v>2000</v>
      </c>
      <c r="U48" s="35">
        <f>S48+T48</f>
        <v>2285.5299999999997</v>
      </c>
    </row>
    <row r="49" spans="2:21" x14ac:dyDescent="0.25">
      <c r="B49" s="2" t="s">
        <v>26</v>
      </c>
      <c r="E49" s="34">
        <f>E48</f>
        <v>10000</v>
      </c>
      <c r="F49" s="34"/>
      <c r="G49" s="34">
        <f>+G48</f>
        <v>0</v>
      </c>
      <c r="H49" s="34"/>
      <c r="I49" s="34">
        <f>I48</f>
        <v>0</v>
      </c>
      <c r="J49" s="34">
        <f>J48</f>
        <v>0</v>
      </c>
      <c r="K49" s="34">
        <f t="shared" ref="K49:U49" si="20">K48</f>
        <v>10000</v>
      </c>
      <c r="L49" s="34">
        <f t="shared" si="20"/>
        <v>0</v>
      </c>
      <c r="M49" s="34">
        <f t="shared" si="20"/>
        <v>1581.44</v>
      </c>
      <c r="N49" s="34">
        <f t="shared" si="20"/>
        <v>1581.44</v>
      </c>
      <c r="O49" s="34">
        <f t="shared" si="20"/>
        <v>0</v>
      </c>
      <c r="P49" s="34">
        <f>P48</f>
        <v>1150</v>
      </c>
      <c r="Q49" s="34">
        <f t="shared" si="20"/>
        <v>2731.44</v>
      </c>
      <c r="R49" s="34">
        <f t="shared" si="20"/>
        <v>7268.5599999999995</v>
      </c>
      <c r="S49" s="34">
        <f t="shared" si="20"/>
        <v>285.52999999999997</v>
      </c>
      <c r="T49" s="34">
        <f t="shared" si="20"/>
        <v>2000</v>
      </c>
      <c r="U49" s="34">
        <f t="shared" si="20"/>
        <v>2285.5299999999997</v>
      </c>
    </row>
    <row r="50" spans="2:21" ht="12" customHeight="1" x14ac:dyDescent="0.25">
      <c r="B50" s="2"/>
      <c r="E50" s="15"/>
      <c r="F50" s="15"/>
      <c r="G50" s="15"/>
      <c r="H50" s="15"/>
      <c r="I50" s="15"/>
      <c r="J50" s="15"/>
      <c r="K50" s="16"/>
      <c r="L50" s="16"/>
      <c r="M50" s="16"/>
      <c r="N50" s="16"/>
      <c r="O50" s="16"/>
      <c r="P50" s="16"/>
      <c r="Q50" s="16"/>
      <c r="R50" s="16"/>
      <c r="S50" s="8"/>
      <c r="T50" s="8"/>
      <c r="U50" s="8"/>
    </row>
    <row r="51" spans="2:21" hidden="1" x14ac:dyDescent="0.25"/>
    <row r="52" spans="2:21" ht="18.75" x14ac:dyDescent="0.3">
      <c r="C52" s="53" t="s">
        <v>105</v>
      </c>
      <c r="E52" s="17">
        <f>E9+E20+E26+E40+E45+E49</f>
        <v>158954.95000000001</v>
      </c>
      <c r="F52" s="17"/>
      <c r="G52" s="17">
        <f>G9+G20+G26+G40+G45+G49</f>
        <v>16078.619999999999</v>
      </c>
      <c r="H52" s="17"/>
      <c r="I52" s="17">
        <f>I9+I20+I26+I40+I45+I49</f>
        <v>11.899999999999999</v>
      </c>
      <c r="J52" s="17">
        <f t="shared" ref="J52:U52" si="21">J9+J20+J26+J40+J45+J49</f>
        <v>0</v>
      </c>
      <c r="K52" s="17">
        <f>K9+K20+K26+K40+K45+K49</f>
        <v>158943.04999999999</v>
      </c>
      <c r="L52" s="17">
        <f t="shared" si="21"/>
        <v>274.08999999999997</v>
      </c>
      <c r="M52" s="17">
        <f t="shared" si="21"/>
        <v>19286.219999999998</v>
      </c>
      <c r="N52" s="17">
        <f t="shared" si="21"/>
        <v>19225.43</v>
      </c>
      <c r="O52" s="17">
        <f t="shared" si="21"/>
        <v>0</v>
      </c>
      <c r="P52" s="17">
        <f>P9+P20+P26+P40+P45+P49</f>
        <v>17664.56925</v>
      </c>
      <c r="Q52" s="17">
        <f t="shared" si="21"/>
        <v>52968.619250000003</v>
      </c>
      <c r="R52" s="54">
        <f>R9+R20+R26+R40+R45+R49</f>
        <v>105974.43075</v>
      </c>
      <c r="S52" s="17">
        <f>S9+S20+S26+S40+S45+S49</f>
        <v>7020.3799999999992</v>
      </c>
      <c r="T52" s="17">
        <f>T9+T20+T26+T40+T45+T49</f>
        <v>30720.989999999998</v>
      </c>
      <c r="U52" s="55">
        <f t="shared" si="21"/>
        <v>37741.370000000003</v>
      </c>
    </row>
    <row r="55" spans="2:21" ht="15.75" thickBot="1" x14ac:dyDescent="0.3">
      <c r="E55" s="375"/>
      <c r="F55" s="375"/>
      <c r="G55" s="78"/>
      <c r="H55" s="78"/>
      <c r="P55" s="376"/>
      <c r="Q55" s="376"/>
    </row>
    <row r="56" spans="2:21" x14ac:dyDescent="0.25">
      <c r="E56" s="377" t="s">
        <v>177</v>
      </c>
      <c r="F56" s="377"/>
      <c r="G56" s="79"/>
      <c r="H56" s="79"/>
      <c r="P56" s="26"/>
      <c r="Q56" s="26"/>
      <c r="R56" s="378" t="s">
        <v>157</v>
      </c>
      <c r="S56" s="378"/>
    </row>
    <row r="60" spans="2:21" x14ac:dyDescent="0.25">
      <c r="C60" t="s">
        <v>174</v>
      </c>
    </row>
  </sheetData>
  <mergeCells count="5">
    <mergeCell ref="B4:U4"/>
    <mergeCell ref="E55:F55"/>
    <mergeCell ref="P55:Q55"/>
    <mergeCell ref="E56:F56"/>
    <mergeCell ref="R56:S56"/>
  </mergeCells>
  <pageMargins left="0.51181102362204722" right="0.51181102362204722" top="0.15748031496062992" bottom="0.35433070866141736" header="0.31496062992125984" footer="0.31496062992125984"/>
  <pageSetup scale="42" fitToHeight="0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U60"/>
  <sheetViews>
    <sheetView topLeftCell="C17" zoomScale="85" zoomScaleNormal="85" workbookViewId="0">
      <selection activeCell="R48" sqref="R48"/>
    </sheetView>
  </sheetViews>
  <sheetFormatPr baseColWidth="10" defaultRowHeight="15" x14ac:dyDescent="0.25"/>
  <cols>
    <col min="1" max="1" width="0.7109375" customWidth="1"/>
    <col min="2" max="2" width="17.140625" customWidth="1"/>
    <col min="3" max="3" width="34.140625" customWidth="1"/>
    <col min="4" max="4" width="28" customWidth="1"/>
    <col min="5" max="5" width="18.42578125" customWidth="1"/>
    <col min="6" max="6" width="12.7109375" customWidth="1"/>
    <col min="7" max="7" width="12.28515625" customWidth="1"/>
    <col min="8" max="8" width="14.140625" customWidth="1"/>
    <col min="9" max="9" width="13.85546875" customWidth="1"/>
    <col min="10" max="10" width="11.42578125" customWidth="1"/>
    <col min="11" max="11" width="14.42578125" customWidth="1"/>
    <col min="12" max="12" width="9.42578125" customWidth="1"/>
    <col min="13" max="13" width="14.42578125" customWidth="1"/>
    <col min="14" max="14" width="12.7109375" customWidth="1"/>
    <col min="15" max="15" width="11.42578125" customWidth="1"/>
    <col min="16" max="16" width="12.85546875" customWidth="1"/>
    <col min="17" max="17" width="16.5703125" customWidth="1"/>
    <col min="18" max="18" width="18.28515625" customWidth="1"/>
    <col min="19" max="19" width="16.140625" customWidth="1"/>
    <col min="20" max="20" width="16" customWidth="1"/>
    <col min="21" max="21" width="17" customWidth="1"/>
  </cols>
  <sheetData>
    <row r="3" spans="2:21" x14ac:dyDescent="0.25"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2:21" ht="16.5" customHeight="1" x14ac:dyDescent="0.25">
      <c r="B4" s="372" t="s">
        <v>188</v>
      </c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</row>
    <row r="5" spans="2:21" s="56" customFormat="1" ht="39.75" customHeight="1" thickBot="1" x14ac:dyDescent="0.3">
      <c r="B5" s="42" t="s">
        <v>9</v>
      </c>
      <c r="C5" s="43" t="s">
        <v>10</v>
      </c>
      <c r="D5" s="43" t="s">
        <v>0</v>
      </c>
      <c r="E5" s="44" t="s">
        <v>11</v>
      </c>
      <c r="F5" s="44" t="s">
        <v>150</v>
      </c>
      <c r="G5" s="43" t="s">
        <v>180</v>
      </c>
      <c r="H5" s="43" t="s">
        <v>182</v>
      </c>
      <c r="I5" s="43" t="s">
        <v>169</v>
      </c>
      <c r="J5" s="43" t="s">
        <v>170</v>
      </c>
      <c r="K5" s="43" t="s">
        <v>12</v>
      </c>
      <c r="L5" s="43" t="s">
        <v>107</v>
      </c>
      <c r="M5" s="44" t="s">
        <v>143</v>
      </c>
      <c r="N5" s="44" t="s">
        <v>13</v>
      </c>
      <c r="O5" s="44" t="s">
        <v>171</v>
      </c>
      <c r="P5" s="44" t="s">
        <v>16</v>
      </c>
      <c r="Q5" s="44" t="s">
        <v>17</v>
      </c>
      <c r="R5" s="44" t="s">
        <v>72</v>
      </c>
      <c r="S5" s="43" t="s">
        <v>8</v>
      </c>
      <c r="T5" s="43" t="s">
        <v>18</v>
      </c>
      <c r="U5" s="46" t="s">
        <v>73</v>
      </c>
    </row>
    <row r="6" spans="2:21" ht="15.75" thickTop="1" x14ac:dyDescent="0.25">
      <c r="B6" s="2" t="s">
        <v>19</v>
      </c>
      <c r="C6" s="2" t="s">
        <v>20</v>
      </c>
      <c r="D6" s="2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2:21" x14ac:dyDescent="0.25">
      <c r="B7" t="s">
        <v>21</v>
      </c>
      <c r="C7" s="11" t="s">
        <v>22</v>
      </c>
      <c r="D7" t="s">
        <v>25</v>
      </c>
      <c r="E7" s="15">
        <v>16954.95</v>
      </c>
      <c r="F7" s="29">
        <v>15</v>
      </c>
      <c r="G7" s="83">
        <v>2700</v>
      </c>
      <c r="H7" s="15"/>
      <c r="I7" s="15"/>
      <c r="J7" s="15"/>
      <c r="K7" s="15">
        <f>E7-I7</f>
        <v>16954.95</v>
      </c>
      <c r="L7" s="15">
        <v>0</v>
      </c>
      <c r="M7" s="15">
        <v>3246.93</v>
      </c>
      <c r="N7" s="15">
        <f>M7-L7</f>
        <v>3246.93</v>
      </c>
      <c r="O7" s="15">
        <v>0</v>
      </c>
      <c r="P7" s="20">
        <f>E7*0.115</f>
        <v>1949.8192500000002</v>
      </c>
      <c r="Q7" s="15">
        <f>SUM(N7:P7)+G7</f>
        <v>7896.7492499999998</v>
      </c>
      <c r="R7" s="84">
        <f>K7-Q7</f>
        <v>9058.20075</v>
      </c>
      <c r="S7" s="11">
        <v>328.67</v>
      </c>
      <c r="T7" s="11">
        <v>339.09</v>
      </c>
      <c r="U7" s="35">
        <f>SUM(S7:T7)</f>
        <v>667.76</v>
      </c>
    </row>
    <row r="8" spans="2:21" x14ac:dyDescent="0.25">
      <c r="B8" t="s">
        <v>23</v>
      </c>
      <c r="C8" s="11" t="s">
        <v>24</v>
      </c>
      <c r="D8" t="s">
        <v>3</v>
      </c>
      <c r="E8" s="15">
        <v>4850</v>
      </c>
      <c r="F8" s="29">
        <v>15</v>
      </c>
      <c r="G8" s="83">
        <v>809</v>
      </c>
      <c r="H8" s="15"/>
      <c r="I8" s="15"/>
      <c r="J8" s="15"/>
      <c r="K8" s="15">
        <f>E8-I8</f>
        <v>4850</v>
      </c>
      <c r="L8" s="15">
        <v>0</v>
      </c>
      <c r="M8" s="15">
        <v>491.69</v>
      </c>
      <c r="N8" s="15">
        <f>M8-L8</f>
        <v>491.69</v>
      </c>
      <c r="O8" s="15">
        <v>0</v>
      </c>
      <c r="P8" s="20">
        <f>E8*0.115</f>
        <v>557.75</v>
      </c>
      <c r="Q8" s="15">
        <f>SUM(N8:P8)+G8</f>
        <v>1858.44</v>
      </c>
      <c r="R8" s="84">
        <f>K8-Q8</f>
        <v>2991.56</v>
      </c>
      <c r="S8" s="11">
        <v>253.58</v>
      </c>
      <c r="T8" s="11">
        <v>97</v>
      </c>
      <c r="U8" s="35">
        <f t="shared" ref="U8" si="0">SUM(S8:T8)</f>
        <v>350.58000000000004</v>
      </c>
    </row>
    <row r="9" spans="2:21" x14ac:dyDescent="0.25">
      <c r="B9" s="7" t="s">
        <v>26</v>
      </c>
      <c r="C9" s="30"/>
      <c r="D9" s="30"/>
      <c r="E9" s="34">
        <f>SUM(E7:E8)</f>
        <v>21804.95</v>
      </c>
      <c r="F9" s="34"/>
      <c r="G9" s="34">
        <f>+G8+G7</f>
        <v>3509</v>
      </c>
      <c r="H9" s="34"/>
      <c r="I9" s="34">
        <f t="shared" ref="I9:U9" si="1">SUM(I7:I8)</f>
        <v>0</v>
      </c>
      <c r="J9" s="34">
        <f t="shared" si="1"/>
        <v>0</v>
      </c>
      <c r="K9" s="34">
        <f t="shared" si="1"/>
        <v>21804.95</v>
      </c>
      <c r="L9" s="34">
        <f t="shared" si="1"/>
        <v>0</v>
      </c>
      <c r="M9" s="34">
        <f t="shared" si="1"/>
        <v>3738.62</v>
      </c>
      <c r="N9" s="34">
        <f t="shared" si="1"/>
        <v>3738.62</v>
      </c>
      <c r="O9" s="34">
        <f t="shared" si="1"/>
        <v>0</v>
      </c>
      <c r="P9" s="34">
        <f>SUM(P7:P8)</f>
        <v>2507.5692500000005</v>
      </c>
      <c r="Q9" s="34">
        <f t="shared" si="1"/>
        <v>9755.1892499999994</v>
      </c>
      <c r="R9" s="34">
        <f t="shared" si="1"/>
        <v>12049.760749999999</v>
      </c>
      <c r="S9" s="34">
        <f t="shared" si="1"/>
        <v>582.25</v>
      </c>
      <c r="T9" s="34">
        <f t="shared" si="1"/>
        <v>436.09</v>
      </c>
      <c r="U9" s="34">
        <f t="shared" si="1"/>
        <v>1018.34</v>
      </c>
    </row>
    <row r="10" spans="2:21" ht="10.5" hidden="1" customHeight="1" x14ac:dyDescent="0.25"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2:21" x14ac:dyDescent="0.25">
      <c r="B11" s="2" t="s">
        <v>27</v>
      </c>
      <c r="C11" s="2" t="s">
        <v>28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2:21" x14ac:dyDescent="0.25">
      <c r="B12" t="s">
        <v>32</v>
      </c>
      <c r="C12" s="11" t="s">
        <v>37</v>
      </c>
      <c r="D12" t="s">
        <v>1</v>
      </c>
      <c r="E12" s="15">
        <v>10000</v>
      </c>
      <c r="F12" s="29">
        <v>15</v>
      </c>
      <c r="G12" s="83">
        <v>3334</v>
      </c>
      <c r="H12" s="15"/>
      <c r="I12" s="15"/>
      <c r="J12" s="15"/>
      <c r="K12" s="15">
        <f t="shared" ref="K12:K19" si="2">E12-I12</f>
        <v>10000</v>
      </c>
      <c r="L12" s="15">
        <v>0</v>
      </c>
      <c r="M12" s="15">
        <v>1581.44</v>
      </c>
      <c r="N12" s="15">
        <f>M12-L12</f>
        <v>1581.44</v>
      </c>
      <c r="O12" s="15">
        <v>0</v>
      </c>
      <c r="P12" s="15">
        <f t="shared" ref="P12:P19" si="3">E12*0.115</f>
        <v>1150</v>
      </c>
      <c r="Q12" s="15">
        <f>SUM(N12:P12)+G12</f>
        <v>6065.4400000000005</v>
      </c>
      <c r="R12" s="84">
        <f t="shared" ref="R12:R19" si="4">K12-Q12</f>
        <v>3934.5599999999995</v>
      </c>
      <c r="S12" s="11">
        <v>285.52999999999997</v>
      </c>
      <c r="T12" s="11">
        <v>200</v>
      </c>
      <c r="U12" s="35">
        <f>S12+T12</f>
        <v>485.53</v>
      </c>
    </row>
    <row r="13" spans="2:21" x14ac:dyDescent="0.25">
      <c r="B13" t="s">
        <v>33</v>
      </c>
      <c r="C13" s="11" t="s">
        <v>38</v>
      </c>
      <c r="D13" t="s">
        <v>74</v>
      </c>
      <c r="E13" s="15">
        <v>5350</v>
      </c>
      <c r="F13" s="29">
        <v>15</v>
      </c>
      <c r="G13" s="15"/>
      <c r="H13" s="15"/>
      <c r="I13" s="77"/>
      <c r="J13" s="19"/>
      <c r="K13" s="15">
        <f>E13-I13</f>
        <v>5350</v>
      </c>
      <c r="L13" s="15">
        <v>0</v>
      </c>
      <c r="M13" s="15">
        <v>586.75</v>
      </c>
      <c r="N13" s="15">
        <v>588.20000000000005</v>
      </c>
      <c r="O13" s="15">
        <v>0</v>
      </c>
      <c r="P13" s="15">
        <f t="shared" si="3"/>
        <v>615.25</v>
      </c>
      <c r="Q13" s="15">
        <f t="shared" ref="Q13:Q19" si="5">SUM(N13:P13)+G13</f>
        <v>1203.45</v>
      </c>
      <c r="R13" s="84">
        <f t="shared" si="4"/>
        <v>4146.55</v>
      </c>
      <c r="S13" s="11">
        <v>256.68</v>
      </c>
      <c r="T13" s="11">
        <v>107</v>
      </c>
      <c r="U13" s="35">
        <f>S13+T13</f>
        <v>363.68</v>
      </c>
    </row>
    <row r="14" spans="2:21" x14ac:dyDescent="0.25">
      <c r="B14" t="s">
        <v>34</v>
      </c>
      <c r="C14" s="11" t="s">
        <v>178</v>
      </c>
      <c r="D14" t="s">
        <v>179</v>
      </c>
      <c r="E14" s="15">
        <v>5350</v>
      </c>
      <c r="F14" s="29">
        <v>15</v>
      </c>
      <c r="G14" s="15"/>
      <c r="H14" s="20"/>
      <c r="I14" s="19"/>
      <c r="J14" s="19"/>
      <c r="K14" s="15">
        <f>+E14+H14</f>
        <v>5350</v>
      </c>
      <c r="L14" s="15">
        <v>0</v>
      </c>
      <c r="M14" s="15">
        <v>586.75</v>
      </c>
      <c r="N14" s="15">
        <v>588.20000000000005</v>
      </c>
      <c r="O14" s="15">
        <v>0</v>
      </c>
      <c r="P14" s="15"/>
      <c r="Q14" s="15">
        <f>SUM(N14:P14)+G14</f>
        <v>588.20000000000005</v>
      </c>
      <c r="R14" s="84">
        <f>K14-Q14</f>
        <v>4761.8</v>
      </c>
      <c r="S14" s="11">
        <v>256.68</v>
      </c>
      <c r="T14" s="11">
        <v>0</v>
      </c>
      <c r="U14" s="35">
        <f>S14+T14</f>
        <v>256.68</v>
      </c>
    </row>
    <row r="15" spans="2:21" x14ac:dyDescent="0.25">
      <c r="B15" t="s">
        <v>35</v>
      </c>
      <c r="C15" t="s">
        <v>111</v>
      </c>
      <c r="D15" t="s">
        <v>77</v>
      </c>
      <c r="E15" s="15">
        <v>6000</v>
      </c>
      <c r="F15" s="29">
        <v>15</v>
      </c>
      <c r="G15" s="15"/>
      <c r="H15" s="15"/>
      <c r="I15" s="15"/>
      <c r="J15" s="15"/>
      <c r="K15" s="15">
        <f t="shared" si="2"/>
        <v>6000</v>
      </c>
      <c r="L15" s="15">
        <v>0</v>
      </c>
      <c r="M15" s="15">
        <v>727.04</v>
      </c>
      <c r="N15" s="15">
        <f t="shared" ref="N15:N19" si="6">M15-L15</f>
        <v>727.04</v>
      </c>
      <c r="O15" s="15">
        <v>0</v>
      </c>
      <c r="P15" s="15">
        <f t="shared" si="3"/>
        <v>690</v>
      </c>
      <c r="Q15" s="15">
        <f t="shared" si="5"/>
        <v>1417.04</v>
      </c>
      <c r="R15" s="84">
        <f t="shared" si="4"/>
        <v>4582.96</v>
      </c>
      <c r="S15" s="11">
        <v>260.72000000000003</v>
      </c>
      <c r="T15" s="11">
        <v>120</v>
      </c>
      <c r="U15" s="35">
        <f>S15+T15</f>
        <v>380.72</v>
      </c>
    </row>
    <row r="16" spans="2:21" x14ac:dyDescent="0.25">
      <c r="B16" t="s">
        <v>36</v>
      </c>
      <c r="C16" t="s">
        <v>86</v>
      </c>
      <c r="D16" t="s">
        <v>39</v>
      </c>
      <c r="E16" s="15">
        <v>4500</v>
      </c>
      <c r="F16" s="29">
        <v>15</v>
      </c>
      <c r="G16" s="83">
        <v>750</v>
      </c>
      <c r="H16" s="15"/>
      <c r="I16" s="15"/>
      <c r="J16" s="15"/>
      <c r="K16" s="15">
        <f t="shared" si="2"/>
        <v>4500</v>
      </c>
      <c r="L16" s="15">
        <v>0</v>
      </c>
      <c r="M16" s="15">
        <v>428.97</v>
      </c>
      <c r="N16" s="15">
        <f t="shared" si="6"/>
        <v>428.97</v>
      </c>
      <c r="O16" s="15">
        <v>0</v>
      </c>
      <c r="P16" s="15">
        <f t="shared" si="3"/>
        <v>517.5</v>
      </c>
      <c r="Q16" s="15">
        <f t="shared" si="5"/>
        <v>1696.47</v>
      </c>
      <c r="R16" s="84">
        <f t="shared" si="4"/>
        <v>2803.5299999999997</v>
      </c>
      <c r="S16" s="11">
        <v>251.41</v>
      </c>
      <c r="T16" s="11">
        <v>90</v>
      </c>
      <c r="U16" s="35">
        <f>S16+T16</f>
        <v>341.40999999999997</v>
      </c>
    </row>
    <row r="17" spans="2:21" x14ac:dyDescent="0.25">
      <c r="B17" t="s">
        <v>115</v>
      </c>
      <c r="C17" t="s">
        <v>87</v>
      </c>
      <c r="D17" t="s">
        <v>39</v>
      </c>
      <c r="E17" s="15">
        <v>4500</v>
      </c>
      <c r="F17" s="29">
        <v>15</v>
      </c>
      <c r="G17" s="83">
        <v>610</v>
      </c>
      <c r="H17" s="15"/>
      <c r="I17" s="15"/>
      <c r="J17" s="15"/>
      <c r="K17" s="15">
        <f t="shared" si="2"/>
        <v>4500</v>
      </c>
      <c r="L17" s="15">
        <v>0</v>
      </c>
      <c r="M17" s="15">
        <v>428.97</v>
      </c>
      <c r="N17" s="15">
        <v>428.97</v>
      </c>
      <c r="O17" s="15">
        <v>0</v>
      </c>
      <c r="P17" s="15">
        <f t="shared" si="3"/>
        <v>517.5</v>
      </c>
      <c r="Q17" s="15">
        <f t="shared" si="5"/>
        <v>1556.47</v>
      </c>
      <c r="R17" s="84">
        <f t="shared" si="4"/>
        <v>2943.5299999999997</v>
      </c>
      <c r="S17" s="11">
        <v>251.41</v>
      </c>
      <c r="T17" s="11">
        <v>90</v>
      </c>
      <c r="U17" s="35">
        <f t="shared" ref="U17:U19" si="7">S17+T17</f>
        <v>341.40999999999997</v>
      </c>
    </row>
    <row r="18" spans="2:21" x14ac:dyDescent="0.25">
      <c r="B18" t="s">
        <v>116</v>
      </c>
      <c r="C18" t="s">
        <v>89</v>
      </c>
      <c r="D18" t="s">
        <v>4</v>
      </c>
      <c r="E18" s="15">
        <v>2700</v>
      </c>
      <c r="F18" s="29">
        <v>15</v>
      </c>
      <c r="G18" s="83">
        <v>450</v>
      </c>
      <c r="H18" s="15"/>
      <c r="I18" s="15"/>
      <c r="J18" s="15"/>
      <c r="K18" s="15">
        <f t="shared" si="2"/>
        <v>2700</v>
      </c>
      <c r="L18" s="15">
        <v>147.32</v>
      </c>
      <c r="M18" s="15">
        <v>188.33</v>
      </c>
      <c r="N18" s="15">
        <f t="shared" si="6"/>
        <v>41.010000000000019</v>
      </c>
      <c r="O18" s="15">
        <v>0</v>
      </c>
      <c r="P18" s="20">
        <f t="shared" si="3"/>
        <v>310.5</v>
      </c>
      <c r="Q18" s="15">
        <f t="shared" si="5"/>
        <v>801.51</v>
      </c>
      <c r="R18" s="84">
        <f t="shared" si="4"/>
        <v>1898.49</v>
      </c>
      <c r="S18" s="11">
        <v>240.25</v>
      </c>
      <c r="T18" s="11">
        <v>54</v>
      </c>
      <c r="U18" s="35">
        <f t="shared" si="7"/>
        <v>294.25</v>
      </c>
    </row>
    <row r="19" spans="2:21" x14ac:dyDescent="0.25">
      <c r="B19" t="s">
        <v>117</v>
      </c>
      <c r="C19" t="s">
        <v>88</v>
      </c>
      <c r="D19" t="s">
        <v>40</v>
      </c>
      <c r="E19" s="15">
        <v>3150</v>
      </c>
      <c r="F19" s="29">
        <v>15</v>
      </c>
      <c r="G19" s="83">
        <v>1029</v>
      </c>
      <c r="H19" s="15"/>
      <c r="I19" s="15"/>
      <c r="J19" s="15"/>
      <c r="K19" s="15">
        <f t="shared" si="2"/>
        <v>3150</v>
      </c>
      <c r="L19" s="15">
        <v>126.77</v>
      </c>
      <c r="M19" s="15">
        <v>237.29</v>
      </c>
      <c r="N19" s="15">
        <f t="shared" si="6"/>
        <v>110.52</v>
      </c>
      <c r="O19" s="15">
        <v>0</v>
      </c>
      <c r="P19" s="20">
        <f t="shared" si="3"/>
        <v>362.25</v>
      </c>
      <c r="Q19" s="15">
        <f t="shared" si="5"/>
        <v>1501.77</v>
      </c>
      <c r="R19" s="84">
        <f t="shared" si="4"/>
        <v>1648.23</v>
      </c>
      <c r="S19" s="11">
        <v>243.04</v>
      </c>
      <c r="T19" s="11">
        <v>63</v>
      </c>
      <c r="U19" s="35">
        <f t="shared" si="7"/>
        <v>306.03999999999996</v>
      </c>
    </row>
    <row r="20" spans="2:21" x14ac:dyDescent="0.25">
      <c r="B20" s="2" t="s">
        <v>26</v>
      </c>
      <c r="C20" s="30"/>
      <c r="D20" s="30"/>
      <c r="E20" s="34">
        <f>SUM(E12:E19)</f>
        <v>41550</v>
      </c>
      <c r="F20" s="34"/>
      <c r="G20" s="34">
        <f>+G19+G18+G17+G16+G12</f>
        <v>6173</v>
      </c>
      <c r="H20" s="34"/>
      <c r="I20" s="34">
        <f t="shared" ref="I20:U20" si="8">SUM(I12:I19)</f>
        <v>0</v>
      </c>
      <c r="J20" s="34">
        <f t="shared" si="8"/>
        <v>0</v>
      </c>
      <c r="K20" s="34">
        <f t="shared" si="8"/>
        <v>41550</v>
      </c>
      <c r="L20" s="34">
        <f t="shared" si="8"/>
        <v>274.08999999999997</v>
      </c>
      <c r="M20" s="34">
        <f t="shared" si="8"/>
        <v>4765.54</v>
      </c>
      <c r="N20" s="34">
        <f t="shared" si="8"/>
        <v>4494.3500000000013</v>
      </c>
      <c r="O20" s="34">
        <f t="shared" si="8"/>
        <v>0</v>
      </c>
      <c r="P20" s="34">
        <f>SUM(P12:P19)</f>
        <v>4163</v>
      </c>
      <c r="Q20" s="34">
        <f t="shared" si="8"/>
        <v>14830.35</v>
      </c>
      <c r="R20" s="34">
        <f t="shared" si="8"/>
        <v>26719.649999999998</v>
      </c>
      <c r="S20" s="34">
        <f t="shared" si="8"/>
        <v>2045.7200000000003</v>
      </c>
      <c r="T20" s="34">
        <f t="shared" si="8"/>
        <v>724</v>
      </c>
      <c r="U20" s="34">
        <f t="shared" si="8"/>
        <v>2769.72</v>
      </c>
    </row>
    <row r="21" spans="2:21" hidden="1" x14ac:dyDescent="0.25">
      <c r="B21" s="2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2:21" x14ac:dyDescent="0.25">
      <c r="B22" s="2" t="s">
        <v>50</v>
      </c>
      <c r="C22" s="2" t="s">
        <v>160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2:21" x14ac:dyDescent="0.25">
      <c r="B23" t="s">
        <v>119</v>
      </c>
      <c r="C23" t="s">
        <v>91</v>
      </c>
      <c r="D23" t="s">
        <v>76</v>
      </c>
      <c r="E23" s="15">
        <v>5350</v>
      </c>
      <c r="F23" s="29">
        <v>15</v>
      </c>
      <c r="G23" s="15"/>
      <c r="H23" s="15"/>
      <c r="I23" s="71"/>
      <c r="J23" s="15"/>
      <c r="K23" s="15">
        <f>E23-I23</f>
        <v>5350</v>
      </c>
      <c r="L23" s="15">
        <v>0</v>
      </c>
      <c r="M23" s="15">
        <v>453.47</v>
      </c>
      <c r="N23" s="15">
        <v>588.20000000000005</v>
      </c>
      <c r="O23" s="15">
        <v>0</v>
      </c>
      <c r="P23" s="20">
        <f>E23*0.115</f>
        <v>615.25</v>
      </c>
      <c r="Q23" s="15">
        <f>SUM(N23:P23)+G23</f>
        <v>1203.45</v>
      </c>
      <c r="R23" s="84">
        <f>K23-Q23</f>
        <v>4146.55</v>
      </c>
      <c r="S23" s="11">
        <v>256.68</v>
      </c>
      <c r="T23" s="11">
        <v>107</v>
      </c>
      <c r="U23" s="35">
        <f>S23+T23</f>
        <v>363.68</v>
      </c>
    </row>
    <row r="24" spans="2:21" x14ac:dyDescent="0.25">
      <c r="B24" t="s">
        <v>120</v>
      </c>
      <c r="C24" t="s">
        <v>93</v>
      </c>
      <c r="D24" t="s">
        <v>78</v>
      </c>
      <c r="E24" s="15">
        <v>5350</v>
      </c>
      <c r="F24" s="29">
        <v>15</v>
      </c>
      <c r="G24" s="15"/>
      <c r="H24" s="15"/>
      <c r="I24" s="71"/>
      <c r="J24" s="15"/>
      <c r="K24" s="15">
        <f>E24-I24</f>
        <v>5350</v>
      </c>
      <c r="L24" s="15">
        <v>0</v>
      </c>
      <c r="M24" s="15">
        <v>588.20000000000005</v>
      </c>
      <c r="N24" s="15">
        <f>M24-L24</f>
        <v>588.20000000000005</v>
      </c>
      <c r="O24" s="15">
        <v>0</v>
      </c>
      <c r="P24" s="20">
        <f>E24*0.115</f>
        <v>615.25</v>
      </c>
      <c r="Q24" s="15">
        <f>SUM(N24:P24)+G24</f>
        <v>1203.45</v>
      </c>
      <c r="R24" s="84">
        <f>K24-Q24</f>
        <v>4146.55</v>
      </c>
      <c r="S24" s="11">
        <v>256.68</v>
      </c>
      <c r="T24" s="11">
        <v>107</v>
      </c>
      <c r="U24" s="35">
        <f>S24+T24</f>
        <v>363.68</v>
      </c>
    </row>
    <row r="25" spans="2:21" x14ac:dyDescent="0.25">
      <c r="B25" t="s">
        <v>121</v>
      </c>
      <c r="C25" t="s">
        <v>114</v>
      </c>
      <c r="D25" t="s">
        <v>186</v>
      </c>
      <c r="E25" s="15">
        <v>5350</v>
      </c>
      <c r="F25" s="29">
        <v>15</v>
      </c>
      <c r="G25" s="15"/>
      <c r="H25" s="15"/>
      <c r="I25" s="64">
        <v>5.94</v>
      </c>
      <c r="J25" s="15"/>
      <c r="K25" s="15">
        <f>E25-I25</f>
        <v>5344.06</v>
      </c>
      <c r="L25" s="15">
        <v>0</v>
      </c>
      <c r="M25" s="15">
        <v>588.20000000000005</v>
      </c>
      <c r="N25" s="15">
        <f>M25-L25</f>
        <v>588.20000000000005</v>
      </c>
      <c r="O25" s="15">
        <v>0</v>
      </c>
      <c r="P25" s="20">
        <f>E25*0.115</f>
        <v>615.25</v>
      </c>
      <c r="Q25" s="15">
        <f>SUM(N25:P25)+G25</f>
        <v>1203.45</v>
      </c>
      <c r="R25" s="84">
        <f>K25-Q25</f>
        <v>4140.6100000000006</v>
      </c>
      <c r="S25" s="11">
        <v>256.68</v>
      </c>
      <c r="T25" s="11">
        <v>107</v>
      </c>
      <c r="U25" s="35">
        <f>S25+T25</f>
        <v>363.68</v>
      </c>
    </row>
    <row r="26" spans="2:21" x14ac:dyDescent="0.25">
      <c r="B26" s="2" t="s">
        <v>26</v>
      </c>
      <c r="C26" s="30"/>
      <c r="D26" s="30"/>
      <c r="E26" s="34">
        <f>SUM(E23:E25)</f>
        <v>16050</v>
      </c>
      <c r="F26" s="34"/>
      <c r="G26" s="34">
        <f>+G25+G24+G23</f>
        <v>0</v>
      </c>
      <c r="H26" s="34"/>
      <c r="I26" s="34">
        <f>SUM(I23:I25)</f>
        <v>5.94</v>
      </c>
      <c r="J26" s="34">
        <f>SUM(J23:J25)</f>
        <v>0</v>
      </c>
      <c r="K26" s="34">
        <f t="shared" ref="K26:U26" si="9">SUM(K23:K25)</f>
        <v>16044.060000000001</v>
      </c>
      <c r="L26" s="34">
        <f t="shared" si="9"/>
        <v>0</v>
      </c>
      <c r="M26" s="34">
        <f t="shared" si="9"/>
        <v>1629.8700000000001</v>
      </c>
      <c r="N26" s="34">
        <f t="shared" si="9"/>
        <v>1764.6000000000001</v>
      </c>
      <c r="O26" s="34">
        <f t="shared" si="9"/>
        <v>0</v>
      </c>
      <c r="P26" s="34">
        <f>SUM(P23:P25)</f>
        <v>1845.75</v>
      </c>
      <c r="Q26" s="34">
        <f t="shared" si="9"/>
        <v>3610.3500000000004</v>
      </c>
      <c r="R26" s="34">
        <f t="shared" si="9"/>
        <v>12433.710000000001</v>
      </c>
      <c r="S26" s="34">
        <f t="shared" si="9"/>
        <v>770.04</v>
      </c>
      <c r="T26" s="34">
        <f t="shared" si="9"/>
        <v>321</v>
      </c>
      <c r="U26" s="34">
        <f t="shared" si="9"/>
        <v>1091.04</v>
      </c>
    </row>
    <row r="27" spans="2:21" hidden="1" x14ac:dyDescent="0.25"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2:21" x14ac:dyDescent="0.25">
      <c r="B28" s="2" t="s">
        <v>63</v>
      </c>
      <c r="C28" s="2" t="s">
        <v>51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2:21" x14ac:dyDescent="0.25">
      <c r="B29" t="s">
        <v>122</v>
      </c>
      <c r="C29" t="s">
        <v>97</v>
      </c>
      <c r="D29" t="s">
        <v>80</v>
      </c>
      <c r="E29" s="15">
        <v>5350</v>
      </c>
      <c r="F29" s="29">
        <v>15</v>
      </c>
      <c r="G29" s="15"/>
      <c r="H29" s="15"/>
      <c r="I29" s="64">
        <v>1.7</v>
      </c>
      <c r="J29" s="15"/>
      <c r="K29" s="15">
        <f t="shared" ref="K29:K39" si="10">E29-I29</f>
        <v>5348.3</v>
      </c>
      <c r="L29" s="15">
        <v>0</v>
      </c>
      <c r="M29" s="15">
        <v>588.20000000000005</v>
      </c>
      <c r="N29" s="15">
        <f>M29-L29</f>
        <v>588.20000000000005</v>
      </c>
      <c r="O29" s="15">
        <v>0</v>
      </c>
      <c r="P29" s="20">
        <f>E29*0.115</f>
        <v>615.25</v>
      </c>
      <c r="Q29" s="15">
        <f t="shared" ref="Q29:Q39" si="11">SUM(N29:P29)+G29</f>
        <v>1203.45</v>
      </c>
      <c r="R29" s="84">
        <f t="shared" ref="R29:R39" si="12">K29-Q29</f>
        <v>4144.8500000000004</v>
      </c>
      <c r="S29" s="11">
        <v>256.68</v>
      </c>
      <c r="T29" s="11">
        <v>107</v>
      </c>
      <c r="U29" s="35">
        <f t="shared" ref="U29:U39" si="13">S29+T29</f>
        <v>363.68</v>
      </c>
    </row>
    <row r="30" spans="2:21" x14ac:dyDescent="0.25">
      <c r="B30" t="s">
        <v>123</v>
      </c>
      <c r="C30" t="s">
        <v>100</v>
      </c>
      <c r="D30" t="s">
        <v>80</v>
      </c>
      <c r="E30" s="15">
        <v>5350</v>
      </c>
      <c r="F30" s="29">
        <v>15</v>
      </c>
      <c r="G30" s="15"/>
      <c r="H30" s="15"/>
      <c r="I30" s="77"/>
      <c r="J30" s="20"/>
      <c r="K30" s="20">
        <f t="shared" si="10"/>
        <v>5350</v>
      </c>
      <c r="L30" s="20">
        <v>0</v>
      </c>
      <c r="M30" s="20">
        <v>587.48</v>
      </c>
      <c r="N30" s="20">
        <v>588.20000000000005</v>
      </c>
      <c r="O30" s="15">
        <v>0</v>
      </c>
      <c r="P30" s="20">
        <f t="shared" ref="P30:P39" si="14">E30*0.115</f>
        <v>615.25</v>
      </c>
      <c r="Q30" s="15">
        <f t="shared" si="11"/>
        <v>1203.45</v>
      </c>
      <c r="R30" s="84">
        <f t="shared" si="12"/>
        <v>4146.55</v>
      </c>
      <c r="S30" s="11">
        <v>256.68</v>
      </c>
      <c r="T30" s="11">
        <v>107</v>
      </c>
      <c r="U30" s="35">
        <f t="shared" si="13"/>
        <v>363.68</v>
      </c>
    </row>
    <row r="31" spans="2:21" x14ac:dyDescent="0.25">
      <c r="B31" t="s">
        <v>124</v>
      </c>
      <c r="C31" t="s">
        <v>96</v>
      </c>
      <c r="D31" t="s">
        <v>78</v>
      </c>
      <c r="E31" s="15">
        <v>5350</v>
      </c>
      <c r="F31" s="29">
        <v>15</v>
      </c>
      <c r="G31" s="15"/>
      <c r="H31" s="15"/>
      <c r="I31" s="20"/>
      <c r="J31" s="20"/>
      <c r="K31" s="20">
        <f t="shared" si="10"/>
        <v>5350</v>
      </c>
      <c r="L31" s="20">
        <v>0</v>
      </c>
      <c r="M31" s="20">
        <v>588.20000000000005</v>
      </c>
      <c r="N31" s="20">
        <f t="shared" ref="N31:N39" si="15">M31-L31</f>
        <v>588.20000000000005</v>
      </c>
      <c r="O31" s="15">
        <v>0</v>
      </c>
      <c r="P31" s="20">
        <f t="shared" si="14"/>
        <v>615.25</v>
      </c>
      <c r="Q31" s="15">
        <f t="shared" si="11"/>
        <v>1203.45</v>
      </c>
      <c r="R31" s="84">
        <f t="shared" si="12"/>
        <v>4146.55</v>
      </c>
      <c r="S31" s="11">
        <v>256.68</v>
      </c>
      <c r="T31" s="11">
        <v>107</v>
      </c>
      <c r="U31" s="35">
        <f t="shared" si="13"/>
        <v>363.68</v>
      </c>
    </row>
    <row r="32" spans="2:21" x14ac:dyDescent="0.25">
      <c r="B32" t="s">
        <v>125</v>
      </c>
      <c r="C32" t="s">
        <v>104</v>
      </c>
      <c r="D32" t="s">
        <v>78</v>
      </c>
      <c r="E32" s="15">
        <v>5350</v>
      </c>
      <c r="F32" s="29">
        <v>15</v>
      </c>
      <c r="G32" s="15"/>
      <c r="H32" s="15"/>
      <c r="I32" s="77"/>
      <c r="J32" s="20"/>
      <c r="K32" s="20">
        <f t="shared" si="10"/>
        <v>5350</v>
      </c>
      <c r="L32" s="20">
        <v>0</v>
      </c>
      <c r="M32" s="20">
        <v>588.20000000000005</v>
      </c>
      <c r="N32" s="20">
        <f t="shared" si="15"/>
        <v>588.20000000000005</v>
      </c>
      <c r="O32" s="15">
        <v>0</v>
      </c>
      <c r="P32" s="20">
        <f t="shared" si="14"/>
        <v>615.25</v>
      </c>
      <c r="Q32" s="15">
        <f t="shared" si="11"/>
        <v>1203.45</v>
      </c>
      <c r="R32" s="84">
        <f t="shared" si="12"/>
        <v>4146.55</v>
      </c>
      <c r="S32" s="11">
        <v>256.68</v>
      </c>
      <c r="T32" s="11">
        <v>107</v>
      </c>
      <c r="U32" s="35">
        <f t="shared" si="13"/>
        <v>363.68</v>
      </c>
    </row>
    <row r="33" spans="2:21" x14ac:dyDescent="0.25">
      <c r="B33" t="s">
        <v>126</v>
      </c>
      <c r="C33" t="s">
        <v>94</v>
      </c>
      <c r="D33" t="s">
        <v>81</v>
      </c>
      <c r="E33" s="15">
        <v>5350</v>
      </c>
      <c r="F33" s="29">
        <v>15</v>
      </c>
      <c r="G33" s="83">
        <v>595</v>
      </c>
      <c r="H33" s="15"/>
      <c r="I33" s="72">
        <v>6.8</v>
      </c>
      <c r="J33" s="20"/>
      <c r="K33" s="20">
        <f>E33-I33</f>
        <v>5343.2</v>
      </c>
      <c r="L33" s="20">
        <v>0</v>
      </c>
      <c r="M33" s="20">
        <v>517.23</v>
      </c>
      <c r="N33" s="20">
        <v>588.02</v>
      </c>
      <c r="O33" s="15">
        <v>0</v>
      </c>
      <c r="P33" s="20">
        <f t="shared" si="14"/>
        <v>615.25</v>
      </c>
      <c r="Q33" s="15">
        <f t="shared" si="11"/>
        <v>1798.27</v>
      </c>
      <c r="R33" s="84">
        <f>K33-Q33</f>
        <v>3544.93</v>
      </c>
      <c r="S33" s="11">
        <v>256.68</v>
      </c>
      <c r="T33" s="11">
        <v>107</v>
      </c>
      <c r="U33" s="35">
        <f t="shared" si="13"/>
        <v>363.68</v>
      </c>
    </row>
    <row r="34" spans="2:21" x14ac:dyDescent="0.25">
      <c r="B34" t="s">
        <v>127</v>
      </c>
      <c r="C34" t="s">
        <v>98</v>
      </c>
      <c r="D34" t="s">
        <v>81</v>
      </c>
      <c r="E34" s="15">
        <v>5350</v>
      </c>
      <c r="F34" s="29">
        <v>15</v>
      </c>
      <c r="G34" s="15"/>
      <c r="H34" s="20"/>
      <c r="I34" s="77"/>
      <c r="J34" s="20"/>
      <c r="K34" s="20">
        <f>E34-I34</f>
        <v>5350</v>
      </c>
      <c r="L34" s="20">
        <v>0</v>
      </c>
      <c r="M34" s="20">
        <v>588.20000000000005</v>
      </c>
      <c r="N34" s="20">
        <f t="shared" si="15"/>
        <v>588.20000000000005</v>
      </c>
      <c r="O34" s="15">
        <v>0</v>
      </c>
      <c r="P34" s="20">
        <f>E34*0.115</f>
        <v>615.25</v>
      </c>
      <c r="Q34" s="15">
        <f>SUM(N34:P34)+G34</f>
        <v>1203.45</v>
      </c>
      <c r="R34" s="84">
        <f>K34-Q34</f>
        <v>4146.55</v>
      </c>
      <c r="S34" s="11">
        <v>256.68</v>
      </c>
      <c r="T34" s="11">
        <v>107</v>
      </c>
      <c r="U34" s="35">
        <f t="shared" si="13"/>
        <v>363.68</v>
      </c>
    </row>
    <row r="35" spans="2:21" x14ac:dyDescent="0.25">
      <c r="B35" t="s">
        <v>128</v>
      </c>
      <c r="C35" t="s">
        <v>101</v>
      </c>
      <c r="D35" t="s">
        <v>81</v>
      </c>
      <c r="E35" s="15">
        <v>5350</v>
      </c>
      <c r="F35" s="29">
        <v>15</v>
      </c>
      <c r="G35" s="15"/>
      <c r="H35" s="15"/>
      <c r="I35" s="64">
        <v>7.64</v>
      </c>
      <c r="J35" s="20"/>
      <c r="K35" s="20">
        <f>E35-I35</f>
        <v>5342.36</v>
      </c>
      <c r="L35" s="20">
        <v>0</v>
      </c>
      <c r="M35" s="15">
        <v>588.20000000000005</v>
      </c>
      <c r="N35" s="15">
        <f>M35-L35</f>
        <v>588.20000000000005</v>
      </c>
      <c r="O35" s="15">
        <v>0</v>
      </c>
      <c r="P35" s="20">
        <f t="shared" si="14"/>
        <v>615.25</v>
      </c>
      <c r="Q35" s="15">
        <f>SUM(N35:P35)+G35</f>
        <v>1203.45</v>
      </c>
      <c r="R35" s="84">
        <f>K35-Q35</f>
        <v>4138.91</v>
      </c>
      <c r="S35" s="11">
        <v>256.68</v>
      </c>
      <c r="T35" s="11">
        <v>107</v>
      </c>
      <c r="U35" s="35">
        <f t="shared" si="13"/>
        <v>363.68</v>
      </c>
    </row>
    <row r="36" spans="2:21" x14ac:dyDescent="0.25">
      <c r="B36" t="s">
        <v>129</v>
      </c>
      <c r="C36" t="s">
        <v>95</v>
      </c>
      <c r="D36" t="s">
        <v>82</v>
      </c>
      <c r="E36" s="15">
        <v>5350</v>
      </c>
      <c r="F36" s="29">
        <v>15</v>
      </c>
      <c r="G36" s="83">
        <v>1190</v>
      </c>
      <c r="H36" s="15"/>
      <c r="I36" s="15"/>
      <c r="J36" s="15"/>
      <c r="K36" s="15">
        <f t="shared" si="10"/>
        <v>5350</v>
      </c>
      <c r="L36" s="15">
        <v>0</v>
      </c>
      <c r="M36" s="15">
        <v>588.20000000000005</v>
      </c>
      <c r="N36" s="15">
        <f t="shared" si="15"/>
        <v>588.20000000000005</v>
      </c>
      <c r="O36" s="15">
        <v>0</v>
      </c>
      <c r="P36" s="20">
        <f t="shared" si="14"/>
        <v>615.25</v>
      </c>
      <c r="Q36" s="15">
        <f t="shared" si="11"/>
        <v>2393.4499999999998</v>
      </c>
      <c r="R36" s="84">
        <f t="shared" si="12"/>
        <v>2956.55</v>
      </c>
      <c r="S36" s="11">
        <v>256.68</v>
      </c>
      <c r="T36" s="11">
        <v>107</v>
      </c>
      <c r="U36" s="35">
        <f t="shared" si="13"/>
        <v>363.68</v>
      </c>
    </row>
    <row r="37" spans="2:21" x14ac:dyDescent="0.25">
      <c r="B37" t="s">
        <v>130</v>
      </c>
      <c r="C37" t="s">
        <v>102</v>
      </c>
      <c r="D37" t="s">
        <v>82</v>
      </c>
      <c r="E37" s="15">
        <v>5350</v>
      </c>
      <c r="F37" s="29">
        <v>15</v>
      </c>
      <c r="G37" s="83">
        <v>927.62</v>
      </c>
      <c r="H37" s="15"/>
      <c r="I37" s="15"/>
      <c r="J37" s="15"/>
      <c r="K37" s="15">
        <f t="shared" si="10"/>
        <v>5350</v>
      </c>
      <c r="L37" s="15">
        <v>0</v>
      </c>
      <c r="M37" s="15">
        <v>586.03</v>
      </c>
      <c r="N37" s="15">
        <v>588.20000000000005</v>
      </c>
      <c r="O37" s="15">
        <v>0</v>
      </c>
      <c r="P37" s="20">
        <f t="shared" si="14"/>
        <v>615.25</v>
      </c>
      <c r="Q37" s="15">
        <f>SUM(N37:P37)+G37</f>
        <v>2131.0700000000002</v>
      </c>
      <c r="R37" s="84">
        <f t="shared" si="12"/>
        <v>3218.93</v>
      </c>
      <c r="S37" s="11">
        <v>256.68</v>
      </c>
      <c r="T37" s="11">
        <v>107</v>
      </c>
      <c r="U37" s="35">
        <f t="shared" si="13"/>
        <v>363.68</v>
      </c>
    </row>
    <row r="38" spans="2:21" x14ac:dyDescent="0.25">
      <c r="B38" t="s">
        <v>131</v>
      </c>
      <c r="C38" t="s">
        <v>85</v>
      </c>
      <c r="D38" t="s">
        <v>83</v>
      </c>
      <c r="E38" s="15">
        <v>5350</v>
      </c>
      <c r="F38" s="29">
        <v>15</v>
      </c>
      <c r="G38" s="83">
        <v>1784</v>
      </c>
      <c r="H38" s="15"/>
      <c r="I38" s="15"/>
      <c r="J38" s="15"/>
      <c r="K38" s="15">
        <f t="shared" si="10"/>
        <v>5350</v>
      </c>
      <c r="L38" s="15">
        <v>0</v>
      </c>
      <c r="M38" s="15">
        <v>588.20000000000005</v>
      </c>
      <c r="N38" s="15">
        <f t="shared" si="15"/>
        <v>588.20000000000005</v>
      </c>
      <c r="O38" s="15">
        <v>0</v>
      </c>
      <c r="P38" s="20">
        <f t="shared" si="14"/>
        <v>615.25</v>
      </c>
      <c r="Q38" s="15">
        <f t="shared" si="11"/>
        <v>2987.45</v>
      </c>
      <c r="R38" s="84">
        <f t="shared" si="12"/>
        <v>2362.5500000000002</v>
      </c>
      <c r="S38" s="11">
        <v>256.68</v>
      </c>
      <c r="T38" s="11">
        <v>107</v>
      </c>
      <c r="U38" s="35">
        <f t="shared" si="13"/>
        <v>363.68</v>
      </c>
    </row>
    <row r="39" spans="2:21" x14ac:dyDescent="0.25">
      <c r="B39" t="s">
        <v>132</v>
      </c>
      <c r="C39" t="s">
        <v>103</v>
      </c>
      <c r="D39" t="s">
        <v>83</v>
      </c>
      <c r="E39" s="15">
        <v>5350</v>
      </c>
      <c r="F39" s="29">
        <v>15</v>
      </c>
      <c r="G39" s="83">
        <v>1900</v>
      </c>
      <c r="H39" s="15"/>
      <c r="I39" s="64">
        <v>5.94</v>
      </c>
      <c r="J39" s="15"/>
      <c r="K39" s="15">
        <f t="shared" si="10"/>
        <v>5344.06</v>
      </c>
      <c r="L39" s="15">
        <v>0</v>
      </c>
      <c r="M39" s="15">
        <v>588.20000000000005</v>
      </c>
      <c r="N39" s="15">
        <f t="shared" si="15"/>
        <v>588.20000000000005</v>
      </c>
      <c r="O39" s="15">
        <v>0</v>
      </c>
      <c r="P39" s="20">
        <f t="shared" si="14"/>
        <v>615.25</v>
      </c>
      <c r="Q39" s="15">
        <f t="shared" si="11"/>
        <v>3103.45</v>
      </c>
      <c r="R39" s="84">
        <f t="shared" si="12"/>
        <v>2240.6100000000006</v>
      </c>
      <c r="S39" s="11">
        <v>256.68</v>
      </c>
      <c r="T39" s="11">
        <v>107</v>
      </c>
      <c r="U39" s="35">
        <f t="shared" si="13"/>
        <v>363.68</v>
      </c>
    </row>
    <row r="40" spans="2:21" x14ac:dyDescent="0.25">
      <c r="B40" s="2" t="s">
        <v>26</v>
      </c>
      <c r="C40" s="30"/>
      <c r="D40" s="30"/>
      <c r="E40" s="34">
        <f>SUM(E29:E39)</f>
        <v>58850</v>
      </c>
      <c r="F40" s="34"/>
      <c r="G40" s="34">
        <f>+G39+G38+G37+G36+G35+G34+G33</f>
        <v>6396.62</v>
      </c>
      <c r="H40" s="34"/>
      <c r="I40" s="34">
        <f>SUM(I29:I39)</f>
        <v>22.080000000000002</v>
      </c>
      <c r="J40" s="34">
        <f>SUM(J29:J39)</f>
        <v>0</v>
      </c>
      <c r="K40" s="34">
        <f>SUM(K29:K39)</f>
        <v>58827.92</v>
      </c>
      <c r="L40" s="34">
        <f t="shared" ref="L40:U40" si="16">SUM(L29:L39)</f>
        <v>0</v>
      </c>
      <c r="M40" s="34">
        <f t="shared" si="16"/>
        <v>6396.3399999999992</v>
      </c>
      <c r="N40" s="34">
        <f t="shared" si="16"/>
        <v>6470.0199999999995</v>
      </c>
      <c r="O40" s="34">
        <f t="shared" si="16"/>
        <v>0</v>
      </c>
      <c r="P40" s="34">
        <f>SUM(P29:P39)</f>
        <v>6767.75</v>
      </c>
      <c r="Q40" s="34">
        <f t="shared" si="16"/>
        <v>19634.39</v>
      </c>
      <c r="R40" s="34">
        <f t="shared" si="16"/>
        <v>39193.53</v>
      </c>
      <c r="S40" s="34">
        <f t="shared" si="16"/>
        <v>2823.4799999999996</v>
      </c>
      <c r="T40" s="34">
        <f t="shared" si="16"/>
        <v>1177</v>
      </c>
      <c r="U40" s="34">
        <f t="shared" si="16"/>
        <v>4000.4799999999991</v>
      </c>
    </row>
    <row r="41" spans="2:21" hidden="1" x14ac:dyDescent="0.25"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2:21" x14ac:dyDescent="0.25">
      <c r="B42" s="2" t="s">
        <v>140</v>
      </c>
      <c r="C42" s="2" t="s">
        <v>64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2:21" x14ac:dyDescent="0.25">
      <c r="B43" t="s">
        <v>133</v>
      </c>
      <c r="C43" t="s">
        <v>99</v>
      </c>
      <c r="D43" t="s">
        <v>80</v>
      </c>
      <c r="E43" s="15">
        <v>5350</v>
      </c>
      <c r="F43" s="29">
        <v>15</v>
      </c>
      <c r="G43" s="15"/>
      <c r="H43" s="15"/>
      <c r="I43" s="72">
        <v>1.69</v>
      </c>
      <c r="J43" s="20"/>
      <c r="K43" s="20">
        <f>E43-I43</f>
        <v>5348.31</v>
      </c>
      <c r="L43" s="20">
        <v>0</v>
      </c>
      <c r="M43" s="20">
        <v>586.21</v>
      </c>
      <c r="N43" s="20">
        <v>588.20000000000005</v>
      </c>
      <c r="O43" s="15">
        <v>0</v>
      </c>
      <c r="P43" s="15">
        <f t="shared" ref="P43" si="17">E43*0.115</f>
        <v>615.25</v>
      </c>
      <c r="Q43" s="15">
        <f>SUM(N43:P43)+G43</f>
        <v>1203.45</v>
      </c>
      <c r="R43" s="84">
        <f>K43-Q43</f>
        <v>4144.8600000000006</v>
      </c>
      <c r="S43" s="11">
        <v>256.68</v>
      </c>
      <c r="T43" s="11">
        <v>107</v>
      </c>
      <c r="U43" s="35">
        <f t="shared" ref="U43:U44" si="18">S43+T43</f>
        <v>363.68</v>
      </c>
    </row>
    <row r="44" spans="2:21" x14ac:dyDescent="0.25">
      <c r="B44" t="s">
        <v>152</v>
      </c>
      <c r="C44" t="s">
        <v>92</v>
      </c>
      <c r="D44" t="s">
        <v>80</v>
      </c>
      <c r="E44" s="15">
        <v>5350</v>
      </c>
      <c r="F44" s="29">
        <v>15</v>
      </c>
      <c r="G44" s="15"/>
      <c r="H44" s="15"/>
      <c r="I44" s="15"/>
      <c r="J44" s="15"/>
      <c r="K44" s="15">
        <f>E44-I44</f>
        <v>5350</v>
      </c>
      <c r="L44" s="15">
        <v>0</v>
      </c>
      <c r="M44" s="15">
        <v>588.20000000000005</v>
      </c>
      <c r="N44" s="15">
        <v>588.20000000000005</v>
      </c>
      <c r="O44" s="15">
        <v>0</v>
      </c>
      <c r="P44" s="15">
        <f>K44*0.115</f>
        <v>615.25</v>
      </c>
      <c r="Q44" s="15">
        <f>SUM(N44:P44)+G44</f>
        <v>1203.45</v>
      </c>
      <c r="R44" s="84">
        <f>K44-Q44</f>
        <v>4146.55</v>
      </c>
      <c r="S44" s="11">
        <v>256.68</v>
      </c>
      <c r="T44" s="11">
        <v>107</v>
      </c>
      <c r="U44" s="35">
        <f t="shared" si="18"/>
        <v>363.68</v>
      </c>
    </row>
    <row r="45" spans="2:21" x14ac:dyDescent="0.25">
      <c r="B45" s="2" t="s">
        <v>26</v>
      </c>
      <c r="C45" s="30"/>
      <c r="D45" s="30"/>
      <c r="E45" s="34">
        <f>E43+E44</f>
        <v>10700</v>
      </c>
      <c r="F45" s="34"/>
      <c r="G45" s="34">
        <f>+G44+G43</f>
        <v>0</v>
      </c>
      <c r="H45" s="34"/>
      <c r="I45" s="34">
        <f>I43+I44</f>
        <v>1.69</v>
      </c>
      <c r="J45" s="34">
        <f>J43+J44</f>
        <v>0</v>
      </c>
      <c r="K45" s="34">
        <f t="shared" ref="K45:U45" si="19">K43+K44</f>
        <v>10698.310000000001</v>
      </c>
      <c r="L45" s="34">
        <f t="shared" si="19"/>
        <v>0</v>
      </c>
      <c r="M45" s="34">
        <f t="shared" si="19"/>
        <v>1174.4100000000001</v>
      </c>
      <c r="N45" s="34">
        <f t="shared" si="19"/>
        <v>1176.4000000000001</v>
      </c>
      <c r="O45" s="34">
        <f t="shared" si="19"/>
        <v>0</v>
      </c>
      <c r="P45" s="34">
        <f>P43+P44</f>
        <v>1230.5</v>
      </c>
      <c r="Q45" s="34">
        <f t="shared" si="19"/>
        <v>2406.9</v>
      </c>
      <c r="R45" s="34">
        <f t="shared" si="19"/>
        <v>8291.41</v>
      </c>
      <c r="S45" s="34">
        <f t="shared" si="19"/>
        <v>513.36</v>
      </c>
      <c r="T45" s="34">
        <f t="shared" si="19"/>
        <v>214</v>
      </c>
      <c r="U45" s="34">
        <f t="shared" si="19"/>
        <v>727.36</v>
      </c>
    </row>
    <row r="46" spans="2:21" hidden="1" x14ac:dyDescent="0.25">
      <c r="B46" s="2"/>
      <c r="E46" s="15"/>
      <c r="F46" s="15"/>
      <c r="G46" s="15"/>
      <c r="H46" s="15"/>
      <c r="I46" s="15"/>
      <c r="J46" s="15"/>
      <c r="K46" s="16"/>
      <c r="L46" s="16"/>
      <c r="M46" s="16"/>
      <c r="N46" s="16"/>
      <c r="O46" s="16"/>
      <c r="P46" s="16"/>
      <c r="Q46" s="16"/>
      <c r="R46" s="16"/>
      <c r="S46" s="8"/>
      <c r="T46" s="8"/>
      <c r="U46" s="8"/>
    </row>
    <row r="47" spans="2:21" x14ac:dyDescent="0.25">
      <c r="B47" s="2" t="s">
        <v>161</v>
      </c>
      <c r="C47" s="2" t="s">
        <v>162</v>
      </c>
      <c r="E47" s="15"/>
      <c r="F47" s="15"/>
      <c r="G47" s="15"/>
      <c r="H47" s="15"/>
      <c r="I47" s="15"/>
      <c r="J47" s="15"/>
      <c r="K47" s="16"/>
      <c r="L47" s="16"/>
      <c r="M47" s="16"/>
      <c r="N47" s="16"/>
      <c r="O47" s="16"/>
      <c r="P47" s="16"/>
      <c r="Q47" s="16"/>
      <c r="R47" s="16"/>
      <c r="S47" s="8"/>
      <c r="T47" s="8"/>
      <c r="U47" s="8"/>
    </row>
    <row r="48" spans="2:21" x14ac:dyDescent="0.25">
      <c r="B48" t="s">
        <v>163</v>
      </c>
      <c r="C48" s="11" t="s">
        <v>42</v>
      </c>
      <c r="D48" t="s">
        <v>2</v>
      </c>
      <c r="E48" s="15">
        <v>10000</v>
      </c>
      <c r="F48" s="29">
        <v>15</v>
      </c>
      <c r="G48" s="15"/>
      <c r="H48" s="15"/>
      <c r="I48" s="15"/>
      <c r="J48" s="15"/>
      <c r="K48" s="15">
        <f>E48-I48</f>
        <v>10000</v>
      </c>
      <c r="L48" s="15">
        <v>0</v>
      </c>
      <c r="M48" s="15">
        <v>1581.44</v>
      </c>
      <c r="N48" s="15">
        <f>M48-L48</f>
        <v>1581.44</v>
      </c>
      <c r="O48" s="15">
        <v>0</v>
      </c>
      <c r="P48" s="15">
        <f>E48*0.115</f>
        <v>1150</v>
      </c>
      <c r="Q48" s="15">
        <f>SUM(N48:P48)+G48</f>
        <v>2731.44</v>
      </c>
      <c r="R48" s="84">
        <f>K48-Q48</f>
        <v>7268.5599999999995</v>
      </c>
      <c r="S48" s="11">
        <v>285.52999999999997</v>
      </c>
      <c r="T48" s="11">
        <v>200</v>
      </c>
      <c r="U48" s="35">
        <f>S48+T48</f>
        <v>485.53</v>
      </c>
    </row>
    <row r="49" spans="2:21" x14ac:dyDescent="0.25">
      <c r="B49" s="2" t="s">
        <v>26</v>
      </c>
      <c r="E49" s="34">
        <f>E48</f>
        <v>10000</v>
      </c>
      <c r="F49" s="34"/>
      <c r="G49" s="34">
        <f>+G48</f>
        <v>0</v>
      </c>
      <c r="H49" s="34"/>
      <c r="I49" s="34">
        <f>I48</f>
        <v>0</v>
      </c>
      <c r="J49" s="34">
        <f>J48</f>
        <v>0</v>
      </c>
      <c r="K49" s="34">
        <f t="shared" ref="K49:U49" si="20">K48</f>
        <v>10000</v>
      </c>
      <c r="L49" s="34">
        <f t="shared" si="20"/>
        <v>0</v>
      </c>
      <c r="M49" s="34">
        <f t="shared" si="20"/>
        <v>1581.44</v>
      </c>
      <c r="N49" s="34">
        <f t="shared" si="20"/>
        <v>1581.44</v>
      </c>
      <c r="O49" s="34">
        <f t="shared" si="20"/>
        <v>0</v>
      </c>
      <c r="P49" s="34">
        <f>P48</f>
        <v>1150</v>
      </c>
      <c r="Q49" s="34">
        <f t="shared" si="20"/>
        <v>2731.44</v>
      </c>
      <c r="R49" s="34">
        <f t="shared" si="20"/>
        <v>7268.5599999999995</v>
      </c>
      <c r="S49" s="34">
        <f t="shared" si="20"/>
        <v>285.52999999999997</v>
      </c>
      <c r="T49" s="34">
        <f t="shared" si="20"/>
        <v>200</v>
      </c>
      <c r="U49" s="34">
        <f t="shared" si="20"/>
        <v>485.53</v>
      </c>
    </row>
    <row r="50" spans="2:21" ht="12" customHeight="1" x14ac:dyDescent="0.25">
      <c r="B50" s="2"/>
      <c r="E50" s="15"/>
      <c r="F50" s="15"/>
      <c r="G50" s="15"/>
      <c r="H50" s="15"/>
      <c r="I50" s="15"/>
      <c r="J50" s="15"/>
      <c r="K50" s="16"/>
      <c r="L50" s="16"/>
      <c r="M50" s="16"/>
      <c r="N50" s="16"/>
      <c r="O50" s="16"/>
      <c r="P50" s="16"/>
      <c r="Q50" s="16"/>
      <c r="R50" s="16"/>
      <c r="S50" s="8"/>
      <c r="T50" s="8"/>
      <c r="U50" s="8"/>
    </row>
    <row r="51" spans="2:21" hidden="1" x14ac:dyDescent="0.25"/>
    <row r="52" spans="2:21" ht="18.75" x14ac:dyDescent="0.3">
      <c r="C52" s="53" t="s">
        <v>105</v>
      </c>
      <c r="E52" s="17">
        <f>E9+E20+E26+E40+E45+E49</f>
        <v>158954.95000000001</v>
      </c>
      <c r="F52" s="17"/>
      <c r="G52" s="17">
        <f>G9+G20+G26+G40+G45+G49</f>
        <v>16078.619999999999</v>
      </c>
      <c r="H52" s="17"/>
      <c r="I52" s="17">
        <f>I9+I20+I26+I40+I45+I49</f>
        <v>29.710000000000004</v>
      </c>
      <c r="J52" s="17">
        <f t="shared" ref="J52:U52" si="21">J9+J20+J26+J40+J45+J49</f>
        <v>0</v>
      </c>
      <c r="K52" s="17">
        <f>K9+K20+K26+K40+K45+K49</f>
        <v>158925.24</v>
      </c>
      <c r="L52" s="17">
        <f t="shared" si="21"/>
        <v>274.08999999999997</v>
      </c>
      <c r="M52" s="17">
        <f t="shared" si="21"/>
        <v>19286.219999999998</v>
      </c>
      <c r="N52" s="17">
        <f t="shared" si="21"/>
        <v>19225.43</v>
      </c>
      <c r="O52" s="17">
        <f t="shared" si="21"/>
        <v>0</v>
      </c>
      <c r="P52" s="17">
        <f>P9+P20+P26+P40+P45+P49</f>
        <v>17664.56925</v>
      </c>
      <c r="Q52" s="17">
        <f t="shared" si="21"/>
        <v>52968.619250000003</v>
      </c>
      <c r="R52" s="54">
        <f>R9+R20+R26+R40+R45+R49</f>
        <v>105956.62075</v>
      </c>
      <c r="S52" s="17">
        <f>S9+S20+S26+S40+S45+S49</f>
        <v>7020.3799999999992</v>
      </c>
      <c r="T52" s="17">
        <f>T9+T20+T26+T40+T45+T49</f>
        <v>3072.09</v>
      </c>
      <c r="U52" s="55">
        <f t="shared" si="21"/>
        <v>10092.470000000001</v>
      </c>
    </row>
    <row r="55" spans="2:21" ht="15.75" thickBot="1" x14ac:dyDescent="0.3">
      <c r="E55" s="375"/>
      <c r="F55" s="375"/>
      <c r="G55" s="81"/>
      <c r="H55" s="81"/>
      <c r="P55" s="376"/>
      <c r="Q55" s="376"/>
    </row>
    <row r="56" spans="2:21" x14ac:dyDescent="0.25">
      <c r="E56" s="377" t="s">
        <v>177</v>
      </c>
      <c r="F56" s="377"/>
      <c r="G56" s="82"/>
      <c r="H56" s="82"/>
      <c r="P56" s="26"/>
      <c r="Q56" s="26"/>
      <c r="R56" s="378" t="s">
        <v>157</v>
      </c>
      <c r="S56" s="378"/>
    </row>
    <row r="60" spans="2:21" x14ac:dyDescent="0.25">
      <c r="C60" t="s">
        <v>174</v>
      </c>
    </row>
  </sheetData>
  <mergeCells count="5">
    <mergeCell ref="B4:U4"/>
    <mergeCell ref="E55:F55"/>
    <mergeCell ref="P55:Q55"/>
    <mergeCell ref="E56:F56"/>
    <mergeCell ref="R56:S56"/>
  </mergeCells>
  <pageMargins left="0.51181102362204722" right="0.51181102362204722" top="0.15748031496062992" bottom="0.35433070866141736" header="0.31496062992125984" footer="0.31496062992125984"/>
  <pageSetup paperSize="9" scale="42" fitToHeight="0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56"/>
  <sheetViews>
    <sheetView zoomScale="85" zoomScaleNormal="85" workbookViewId="0">
      <selection activeCell="D11" sqref="D11"/>
    </sheetView>
  </sheetViews>
  <sheetFormatPr baseColWidth="10" defaultRowHeight="15" x14ac:dyDescent="0.25"/>
  <cols>
    <col min="1" max="1" width="0.7109375" customWidth="1"/>
    <col min="2" max="2" width="17.140625" customWidth="1"/>
    <col min="3" max="3" width="34.140625" customWidth="1"/>
    <col min="4" max="4" width="36" customWidth="1"/>
    <col min="5" max="6" width="19.42578125" customWidth="1"/>
    <col min="7" max="7" width="16.5703125" customWidth="1"/>
    <col min="8" max="8" width="18.28515625" customWidth="1"/>
  </cols>
  <sheetData>
    <row r="3" spans="2:8" x14ac:dyDescent="0.25">
      <c r="E3" s="15"/>
      <c r="F3" s="15"/>
      <c r="G3" s="15"/>
      <c r="H3" s="15"/>
    </row>
    <row r="4" spans="2:8" ht="16.5" customHeight="1" x14ac:dyDescent="0.25">
      <c r="B4" s="372" t="s">
        <v>190</v>
      </c>
      <c r="C4" s="372"/>
      <c r="D4" s="372"/>
      <c r="E4" s="372"/>
      <c r="F4" s="372"/>
      <c r="G4" s="372"/>
      <c r="H4" s="372"/>
    </row>
    <row r="5" spans="2:8" s="56" customFormat="1" ht="39.75" customHeight="1" thickBot="1" x14ac:dyDescent="0.3">
      <c r="B5" s="42" t="s">
        <v>9</v>
      </c>
      <c r="C5" s="43" t="s">
        <v>10</v>
      </c>
      <c r="D5" s="43" t="s">
        <v>0</v>
      </c>
      <c r="E5" s="43" t="s">
        <v>12</v>
      </c>
      <c r="F5" s="44" t="s">
        <v>143</v>
      </c>
      <c r="G5" s="44" t="s">
        <v>17</v>
      </c>
      <c r="H5" s="44" t="s">
        <v>72</v>
      </c>
    </row>
    <row r="6" spans="2:8" ht="15.75" thickTop="1" x14ac:dyDescent="0.25">
      <c r="B6" s="2" t="s">
        <v>19</v>
      </c>
      <c r="C6" s="2" t="s">
        <v>20</v>
      </c>
      <c r="D6" s="2"/>
      <c r="E6" s="15"/>
      <c r="F6" s="15"/>
      <c r="G6" s="15"/>
      <c r="H6" s="15"/>
    </row>
    <row r="7" spans="2:8" x14ac:dyDescent="0.25">
      <c r="B7" t="s">
        <v>23</v>
      </c>
      <c r="C7" s="11" t="s">
        <v>24</v>
      </c>
      <c r="D7" t="s">
        <v>3</v>
      </c>
      <c r="E7" s="15">
        <v>3500</v>
      </c>
      <c r="F7" s="15">
        <v>151.66</v>
      </c>
      <c r="G7" s="15">
        <f>+F7</f>
        <v>151.66</v>
      </c>
      <c r="H7" s="84">
        <f>+E7-G7</f>
        <v>3348.34</v>
      </c>
    </row>
    <row r="8" spans="2:8" x14ac:dyDescent="0.25">
      <c r="B8" s="7" t="s">
        <v>26</v>
      </c>
      <c r="C8" s="30"/>
      <c r="D8" s="30"/>
      <c r="E8" s="34">
        <f>SUM(E7:E7)</f>
        <v>3500</v>
      </c>
      <c r="F8" s="34">
        <f>SUM(F7:F7)</f>
        <v>151.66</v>
      </c>
      <c r="G8" s="34">
        <f>SUM(G7:G7)</f>
        <v>151.66</v>
      </c>
      <c r="H8" s="34">
        <f>SUM(H7:H7)</f>
        <v>3348.34</v>
      </c>
    </row>
    <row r="9" spans="2:8" ht="10.5" hidden="1" customHeight="1" x14ac:dyDescent="0.25">
      <c r="E9" s="15"/>
      <c r="F9" s="15"/>
      <c r="G9" s="15"/>
      <c r="H9" s="15"/>
    </row>
    <row r="10" spans="2:8" x14ac:dyDescent="0.25">
      <c r="B10" s="2" t="s">
        <v>27</v>
      </c>
      <c r="C10" s="2" t="s">
        <v>28</v>
      </c>
      <c r="E10" s="15"/>
      <c r="F10" s="15"/>
      <c r="G10" s="15"/>
      <c r="H10" s="15"/>
    </row>
    <row r="11" spans="2:8" x14ac:dyDescent="0.25">
      <c r="B11" t="s">
        <v>33</v>
      </c>
      <c r="C11" s="11" t="s">
        <v>38</v>
      </c>
      <c r="D11" t="s">
        <v>74</v>
      </c>
      <c r="E11" s="15">
        <v>3500</v>
      </c>
      <c r="F11" s="15">
        <v>151.66</v>
      </c>
      <c r="G11" s="15">
        <f t="shared" ref="G11:G16" si="0">+F11</f>
        <v>151.66</v>
      </c>
      <c r="H11" s="84">
        <f>+E11-G11</f>
        <v>3348.34</v>
      </c>
    </row>
    <row r="12" spans="2:8" x14ac:dyDescent="0.25">
      <c r="B12" t="s">
        <v>35</v>
      </c>
      <c r="C12" t="s">
        <v>111</v>
      </c>
      <c r="D12" t="s">
        <v>77</v>
      </c>
      <c r="E12" s="15">
        <v>3500</v>
      </c>
      <c r="F12" s="15">
        <v>151.66</v>
      </c>
      <c r="G12" s="15">
        <f t="shared" si="0"/>
        <v>151.66</v>
      </c>
      <c r="H12" s="84">
        <f>+E12-G12</f>
        <v>3348.34</v>
      </c>
    </row>
    <row r="13" spans="2:8" x14ac:dyDescent="0.25">
      <c r="B13" t="s">
        <v>36</v>
      </c>
      <c r="C13" t="s">
        <v>86</v>
      </c>
      <c r="D13" t="s">
        <v>39</v>
      </c>
      <c r="E13" s="15">
        <v>3500</v>
      </c>
      <c r="F13" s="15">
        <v>151.66</v>
      </c>
      <c r="G13" s="15">
        <f t="shared" si="0"/>
        <v>151.66</v>
      </c>
      <c r="H13" s="84">
        <f>E13-G13</f>
        <v>3348.34</v>
      </c>
    </row>
    <row r="14" spans="2:8" x14ac:dyDescent="0.25">
      <c r="B14" t="s">
        <v>115</v>
      </c>
      <c r="C14" t="s">
        <v>87</v>
      </c>
      <c r="D14" t="s">
        <v>39</v>
      </c>
      <c r="E14" s="15">
        <v>3500</v>
      </c>
      <c r="F14" s="15">
        <v>151.66</v>
      </c>
      <c r="G14" s="15">
        <f t="shared" si="0"/>
        <v>151.66</v>
      </c>
      <c r="H14" s="84">
        <f>E14-G14</f>
        <v>3348.34</v>
      </c>
    </row>
    <row r="15" spans="2:8" x14ac:dyDescent="0.25">
      <c r="B15" t="s">
        <v>116</v>
      </c>
      <c r="C15" t="s">
        <v>89</v>
      </c>
      <c r="D15" t="s">
        <v>4</v>
      </c>
      <c r="E15" s="15">
        <v>3500</v>
      </c>
      <c r="F15" s="15">
        <v>151.66</v>
      </c>
      <c r="G15" s="15">
        <f t="shared" si="0"/>
        <v>151.66</v>
      </c>
      <c r="H15" s="84">
        <f>E15-G15</f>
        <v>3348.34</v>
      </c>
    </row>
    <row r="16" spans="2:8" x14ac:dyDescent="0.25">
      <c r="B16" t="s">
        <v>117</v>
      </c>
      <c r="C16" t="s">
        <v>88</v>
      </c>
      <c r="D16" t="s">
        <v>40</v>
      </c>
      <c r="E16" s="15">
        <v>3500</v>
      </c>
      <c r="F16" s="15">
        <v>151.66</v>
      </c>
      <c r="G16" s="15">
        <f t="shared" si="0"/>
        <v>151.66</v>
      </c>
      <c r="H16" s="84">
        <f>E16-G16</f>
        <v>3348.34</v>
      </c>
    </row>
    <row r="17" spans="2:8" x14ac:dyDescent="0.25">
      <c r="B17" s="2" t="s">
        <v>26</v>
      </c>
      <c r="C17" s="30"/>
      <c r="D17" s="30"/>
      <c r="E17" s="34">
        <f>SUM(E11:E16)</f>
        <v>21000</v>
      </c>
      <c r="F17" s="34">
        <f>SUM(F11:F16)</f>
        <v>909.95999999999992</v>
      </c>
      <c r="G17" s="34">
        <f>SUM(G11:G16)</f>
        <v>909.95999999999992</v>
      </c>
      <c r="H17" s="34">
        <f>SUM(H11:H16)</f>
        <v>20090.04</v>
      </c>
    </row>
    <row r="18" spans="2:8" hidden="1" x14ac:dyDescent="0.25">
      <c r="B18" s="2"/>
      <c r="E18" s="15"/>
      <c r="F18" s="15"/>
      <c r="G18" s="15"/>
      <c r="H18" s="15"/>
    </row>
    <row r="19" spans="2:8" x14ac:dyDescent="0.25">
      <c r="B19" s="2" t="s">
        <v>50</v>
      </c>
      <c r="C19" s="2" t="s">
        <v>160</v>
      </c>
      <c r="E19" s="15"/>
      <c r="F19" s="15"/>
      <c r="G19" s="15"/>
      <c r="H19" s="15"/>
    </row>
    <row r="20" spans="2:8" x14ac:dyDescent="0.25">
      <c r="B20" t="s">
        <v>119</v>
      </c>
      <c r="C20" t="s">
        <v>91</v>
      </c>
      <c r="D20" t="s">
        <v>76</v>
      </c>
      <c r="E20" s="15">
        <v>3500</v>
      </c>
      <c r="F20" s="15">
        <v>151.66</v>
      </c>
      <c r="G20" s="15">
        <f>+F20</f>
        <v>151.66</v>
      </c>
      <c r="H20" s="84">
        <f>E20-G20</f>
        <v>3348.34</v>
      </c>
    </row>
    <row r="21" spans="2:8" x14ac:dyDescent="0.25">
      <c r="B21" t="s">
        <v>120</v>
      </c>
      <c r="C21" t="s">
        <v>93</v>
      </c>
      <c r="D21" t="s">
        <v>78</v>
      </c>
      <c r="E21" s="15">
        <v>3500</v>
      </c>
      <c r="F21" s="15">
        <v>151.66</v>
      </c>
      <c r="G21" s="15">
        <f>+F21</f>
        <v>151.66</v>
      </c>
      <c r="H21" s="84">
        <f>E21-G21</f>
        <v>3348.34</v>
      </c>
    </row>
    <row r="22" spans="2:8" x14ac:dyDescent="0.25">
      <c r="B22" t="s">
        <v>121</v>
      </c>
      <c r="C22" t="s">
        <v>114</v>
      </c>
      <c r="D22" t="s">
        <v>186</v>
      </c>
      <c r="E22" s="15">
        <v>3500</v>
      </c>
      <c r="F22" s="15">
        <v>151.66</v>
      </c>
      <c r="G22" s="15">
        <f>+F22</f>
        <v>151.66</v>
      </c>
      <c r="H22" s="84">
        <f>E22-G22</f>
        <v>3348.34</v>
      </c>
    </row>
    <row r="23" spans="2:8" x14ac:dyDescent="0.25">
      <c r="B23" s="2" t="s">
        <v>26</v>
      </c>
      <c r="C23" s="30"/>
      <c r="D23" s="30"/>
      <c r="E23" s="34">
        <f t="shared" ref="E23:H23" si="1">SUM(E20:E22)</f>
        <v>10500</v>
      </c>
      <c r="F23" s="34">
        <f t="shared" si="1"/>
        <v>454.98</v>
      </c>
      <c r="G23" s="34">
        <f t="shared" si="1"/>
        <v>454.98</v>
      </c>
      <c r="H23" s="34">
        <f t="shared" si="1"/>
        <v>10045.02</v>
      </c>
    </row>
    <row r="24" spans="2:8" hidden="1" x14ac:dyDescent="0.25">
      <c r="E24" s="15"/>
      <c r="F24" s="15"/>
      <c r="G24" s="15"/>
      <c r="H24" s="15"/>
    </row>
    <row r="25" spans="2:8" x14ac:dyDescent="0.25">
      <c r="B25" s="2" t="s">
        <v>63</v>
      </c>
      <c r="C25" s="2" t="s">
        <v>51</v>
      </c>
      <c r="E25" s="15"/>
      <c r="F25" s="15"/>
      <c r="G25" s="15"/>
      <c r="H25" s="15"/>
    </row>
    <row r="26" spans="2:8" x14ac:dyDescent="0.25">
      <c r="B26" t="s">
        <v>122</v>
      </c>
      <c r="C26" t="s">
        <v>97</v>
      </c>
      <c r="D26" t="s">
        <v>80</v>
      </c>
      <c r="E26" s="15">
        <v>3500</v>
      </c>
      <c r="F26" s="15">
        <v>151.66</v>
      </c>
      <c r="G26" s="15">
        <f t="shared" ref="G26:G36" si="2">+F26</f>
        <v>151.66</v>
      </c>
      <c r="H26" s="84">
        <f t="shared" ref="H26:H36" si="3">E26-G26</f>
        <v>3348.34</v>
      </c>
    </row>
    <row r="27" spans="2:8" x14ac:dyDescent="0.25">
      <c r="B27" t="s">
        <v>123</v>
      </c>
      <c r="C27" t="s">
        <v>100</v>
      </c>
      <c r="D27" t="s">
        <v>80</v>
      </c>
      <c r="E27" s="20">
        <v>3500</v>
      </c>
      <c r="F27" s="15">
        <v>151.66</v>
      </c>
      <c r="G27" s="15">
        <f t="shared" si="2"/>
        <v>151.66</v>
      </c>
      <c r="H27" s="84">
        <f t="shared" si="3"/>
        <v>3348.34</v>
      </c>
    </row>
    <row r="28" spans="2:8" x14ac:dyDescent="0.25">
      <c r="B28" t="s">
        <v>124</v>
      </c>
      <c r="C28" t="s">
        <v>96</v>
      </c>
      <c r="D28" t="s">
        <v>78</v>
      </c>
      <c r="E28" s="20">
        <v>3500</v>
      </c>
      <c r="F28" s="15">
        <v>151.66</v>
      </c>
      <c r="G28" s="15">
        <f t="shared" si="2"/>
        <v>151.66</v>
      </c>
      <c r="H28" s="84">
        <f t="shared" si="3"/>
        <v>3348.34</v>
      </c>
    </row>
    <row r="29" spans="2:8" x14ac:dyDescent="0.25">
      <c r="B29" t="s">
        <v>125</v>
      </c>
      <c r="C29" t="s">
        <v>104</v>
      </c>
      <c r="D29" t="s">
        <v>78</v>
      </c>
      <c r="E29" s="20">
        <v>3500</v>
      </c>
      <c r="F29" s="15">
        <v>151.66</v>
      </c>
      <c r="G29" s="15">
        <f t="shared" si="2"/>
        <v>151.66</v>
      </c>
      <c r="H29" s="84">
        <f t="shared" si="3"/>
        <v>3348.34</v>
      </c>
    </row>
    <row r="30" spans="2:8" x14ac:dyDescent="0.25">
      <c r="B30" t="s">
        <v>126</v>
      </c>
      <c r="C30" t="s">
        <v>94</v>
      </c>
      <c r="D30" t="s">
        <v>81</v>
      </c>
      <c r="E30" s="20">
        <v>3500</v>
      </c>
      <c r="F30" s="15">
        <v>151.66</v>
      </c>
      <c r="G30" s="15">
        <f t="shared" si="2"/>
        <v>151.66</v>
      </c>
      <c r="H30" s="84">
        <f t="shared" si="3"/>
        <v>3348.34</v>
      </c>
    </row>
    <row r="31" spans="2:8" x14ac:dyDescent="0.25">
      <c r="B31" t="s">
        <v>127</v>
      </c>
      <c r="C31" t="s">
        <v>98</v>
      </c>
      <c r="D31" t="s">
        <v>81</v>
      </c>
      <c r="E31" s="20">
        <v>3500</v>
      </c>
      <c r="F31" s="15">
        <v>151.66</v>
      </c>
      <c r="G31" s="15">
        <f t="shared" si="2"/>
        <v>151.66</v>
      </c>
      <c r="H31" s="84">
        <f t="shared" si="3"/>
        <v>3348.34</v>
      </c>
    </row>
    <row r="32" spans="2:8" x14ac:dyDescent="0.25">
      <c r="B32" t="s">
        <v>128</v>
      </c>
      <c r="C32" t="s">
        <v>101</v>
      </c>
      <c r="D32" t="s">
        <v>81</v>
      </c>
      <c r="E32" s="20">
        <v>3500</v>
      </c>
      <c r="F32" s="15">
        <v>151.66</v>
      </c>
      <c r="G32" s="15">
        <f t="shared" si="2"/>
        <v>151.66</v>
      </c>
      <c r="H32" s="84">
        <f t="shared" si="3"/>
        <v>3348.34</v>
      </c>
    </row>
    <row r="33" spans="2:8" x14ac:dyDescent="0.25">
      <c r="B33" t="s">
        <v>129</v>
      </c>
      <c r="C33" t="s">
        <v>95</v>
      </c>
      <c r="D33" t="s">
        <v>82</v>
      </c>
      <c r="E33" s="15">
        <v>3500</v>
      </c>
      <c r="F33" s="15">
        <v>151.66</v>
      </c>
      <c r="G33" s="15">
        <f t="shared" si="2"/>
        <v>151.66</v>
      </c>
      <c r="H33" s="84">
        <f t="shared" si="3"/>
        <v>3348.34</v>
      </c>
    </row>
    <row r="34" spans="2:8" x14ac:dyDescent="0.25">
      <c r="B34" t="s">
        <v>130</v>
      </c>
      <c r="C34" t="s">
        <v>102</v>
      </c>
      <c r="D34" t="s">
        <v>82</v>
      </c>
      <c r="E34" s="15">
        <v>3500</v>
      </c>
      <c r="F34" s="15">
        <v>151.66</v>
      </c>
      <c r="G34" s="15">
        <f t="shared" si="2"/>
        <v>151.66</v>
      </c>
      <c r="H34" s="84">
        <f t="shared" si="3"/>
        <v>3348.34</v>
      </c>
    </row>
    <row r="35" spans="2:8" x14ac:dyDescent="0.25">
      <c r="B35" t="s">
        <v>131</v>
      </c>
      <c r="C35" t="s">
        <v>85</v>
      </c>
      <c r="D35" t="s">
        <v>83</v>
      </c>
      <c r="E35" s="15">
        <v>3500</v>
      </c>
      <c r="F35" s="15">
        <v>151.66</v>
      </c>
      <c r="G35" s="15">
        <f t="shared" si="2"/>
        <v>151.66</v>
      </c>
      <c r="H35" s="84">
        <f t="shared" si="3"/>
        <v>3348.34</v>
      </c>
    </row>
    <row r="36" spans="2:8" x14ac:dyDescent="0.25">
      <c r="B36" t="s">
        <v>132</v>
      </c>
      <c r="C36" t="s">
        <v>103</v>
      </c>
      <c r="D36" t="s">
        <v>83</v>
      </c>
      <c r="E36" s="15">
        <v>3500</v>
      </c>
      <c r="F36" s="15">
        <v>151.66</v>
      </c>
      <c r="G36" s="15">
        <f t="shared" si="2"/>
        <v>151.66</v>
      </c>
      <c r="H36" s="84">
        <f t="shared" si="3"/>
        <v>3348.34</v>
      </c>
    </row>
    <row r="37" spans="2:8" x14ac:dyDescent="0.25">
      <c r="B37" s="2" t="s">
        <v>26</v>
      </c>
      <c r="C37" s="30"/>
      <c r="D37" s="30"/>
      <c r="E37" s="34">
        <f>SUM(E26:E36)</f>
        <v>38500</v>
      </c>
      <c r="F37" s="34">
        <f t="shared" ref="F37:H37" si="4">SUM(F26:F36)</f>
        <v>1668.2600000000002</v>
      </c>
      <c r="G37" s="34">
        <f t="shared" si="4"/>
        <v>1668.2600000000002</v>
      </c>
      <c r="H37" s="34">
        <f t="shared" si="4"/>
        <v>36831.740000000005</v>
      </c>
    </row>
    <row r="38" spans="2:8" hidden="1" x14ac:dyDescent="0.25">
      <c r="E38" s="15"/>
      <c r="F38" s="15"/>
      <c r="G38" s="15"/>
      <c r="H38" s="15"/>
    </row>
    <row r="39" spans="2:8" x14ac:dyDescent="0.25">
      <c r="B39" s="2" t="s">
        <v>140</v>
      </c>
      <c r="C39" s="2" t="s">
        <v>64</v>
      </c>
      <c r="E39" s="15"/>
      <c r="F39" s="15"/>
      <c r="G39" s="15"/>
      <c r="H39" s="15"/>
    </row>
    <row r="40" spans="2:8" x14ac:dyDescent="0.25">
      <c r="B40" t="s">
        <v>133</v>
      </c>
      <c r="C40" t="s">
        <v>99</v>
      </c>
      <c r="D40" t="s">
        <v>80</v>
      </c>
      <c r="E40" s="20">
        <v>3500</v>
      </c>
      <c r="F40" s="15">
        <v>151.66</v>
      </c>
      <c r="G40" s="15">
        <f>+F40</f>
        <v>151.66</v>
      </c>
      <c r="H40" s="84">
        <f>E40-G40</f>
        <v>3348.34</v>
      </c>
    </row>
    <row r="41" spans="2:8" x14ac:dyDescent="0.25">
      <c r="B41" t="s">
        <v>152</v>
      </c>
      <c r="C41" t="s">
        <v>92</v>
      </c>
      <c r="D41" t="s">
        <v>80</v>
      </c>
      <c r="E41" s="15">
        <v>3500</v>
      </c>
      <c r="F41" s="15">
        <v>151.66</v>
      </c>
      <c r="G41" s="15">
        <f>+F41</f>
        <v>151.66</v>
      </c>
      <c r="H41" s="84">
        <f>E41-G41</f>
        <v>3348.34</v>
      </c>
    </row>
    <row r="42" spans="2:8" x14ac:dyDescent="0.25">
      <c r="B42" s="2" t="s">
        <v>26</v>
      </c>
      <c r="C42" s="30"/>
      <c r="D42" s="30"/>
      <c r="E42" s="34">
        <f t="shared" ref="E42:H42" si="5">E40+E41</f>
        <v>7000</v>
      </c>
      <c r="F42" s="34">
        <f t="shared" si="5"/>
        <v>303.32</v>
      </c>
      <c r="G42" s="34">
        <f t="shared" si="5"/>
        <v>303.32</v>
      </c>
      <c r="H42" s="34">
        <f t="shared" si="5"/>
        <v>6696.68</v>
      </c>
    </row>
    <row r="43" spans="2:8" hidden="1" x14ac:dyDescent="0.25">
      <c r="B43" s="2"/>
      <c r="E43" s="16"/>
      <c r="F43" s="16"/>
      <c r="G43" s="16"/>
      <c r="H43" s="16"/>
    </row>
    <row r="44" spans="2:8" ht="12" customHeight="1" x14ac:dyDescent="0.25">
      <c r="B44" s="2"/>
      <c r="E44" s="16"/>
      <c r="F44" s="16"/>
      <c r="G44" s="16"/>
      <c r="H44" s="16"/>
    </row>
    <row r="45" spans="2:8" hidden="1" x14ac:dyDescent="0.25"/>
    <row r="46" spans="2:8" ht="18.75" x14ac:dyDescent="0.3">
      <c r="C46" s="53" t="s">
        <v>105</v>
      </c>
      <c r="E46" s="17">
        <f>+E42+E37+E23+E17+E8</f>
        <v>80500</v>
      </c>
      <c r="F46" s="17">
        <f>+F42+F37+F23+F17+F8</f>
        <v>3488.1800000000003</v>
      </c>
      <c r="G46" s="17">
        <f>+G42+G37+G23+G17+G8</f>
        <v>3488.1800000000003</v>
      </c>
      <c r="H46" s="88">
        <f>+H42+H37+H23+H17+H8</f>
        <v>77011.820000000007</v>
      </c>
    </row>
    <row r="51" spans="3:9" ht="15.75" thickBot="1" x14ac:dyDescent="0.3">
      <c r="F51" s="89"/>
      <c r="G51" s="85"/>
      <c r="H51" s="89"/>
      <c r="I51" s="26"/>
    </row>
    <row r="52" spans="3:9" x14ac:dyDescent="0.25">
      <c r="D52" s="87" t="s">
        <v>189</v>
      </c>
      <c r="G52" s="86" t="s">
        <v>157</v>
      </c>
    </row>
    <row r="56" spans="3:9" x14ac:dyDescent="0.25">
      <c r="C56" t="s">
        <v>174</v>
      </c>
    </row>
  </sheetData>
  <mergeCells count="1">
    <mergeCell ref="B4:H4"/>
  </mergeCells>
  <pageMargins left="0.51181102362204722" right="0.51181102362204722" top="0.15748031496062992" bottom="0.35433070866141736" header="0.31496062992125984" footer="0.31496062992125984"/>
  <pageSetup paperSize="9" scale="84" fitToHeight="0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V60"/>
  <sheetViews>
    <sheetView topLeftCell="D17" zoomScale="85" zoomScaleNormal="85" workbookViewId="0">
      <selection activeCell="R53" sqref="R53"/>
    </sheetView>
  </sheetViews>
  <sheetFormatPr baseColWidth="10" defaultRowHeight="15" x14ac:dyDescent="0.25"/>
  <cols>
    <col min="1" max="1" width="0.7109375" customWidth="1"/>
    <col min="2" max="2" width="17.140625" customWidth="1"/>
    <col min="3" max="3" width="34.140625" customWidth="1"/>
    <col min="4" max="4" width="28" customWidth="1"/>
    <col min="5" max="5" width="18.42578125" customWidth="1"/>
    <col min="6" max="6" width="12.7109375" customWidth="1"/>
    <col min="7" max="7" width="12.28515625" customWidth="1"/>
    <col min="8" max="8" width="14.140625" customWidth="1"/>
    <col min="9" max="9" width="13.85546875" customWidth="1"/>
    <col min="10" max="10" width="11.42578125" customWidth="1"/>
    <col min="11" max="11" width="14.42578125" customWidth="1"/>
    <col min="12" max="12" width="9.42578125" customWidth="1"/>
    <col min="13" max="13" width="14.42578125" customWidth="1"/>
    <col min="14" max="14" width="12.7109375" customWidth="1"/>
    <col min="15" max="15" width="11.42578125" customWidth="1"/>
    <col min="16" max="16" width="12.85546875" customWidth="1"/>
    <col min="17" max="17" width="16.5703125" customWidth="1"/>
    <col min="18" max="18" width="18.28515625" customWidth="1"/>
    <col min="19" max="19" width="16.140625" customWidth="1"/>
    <col min="20" max="20" width="14.85546875" customWidth="1"/>
    <col min="21" max="21" width="17" customWidth="1"/>
  </cols>
  <sheetData>
    <row r="3" spans="2:22" x14ac:dyDescent="0.25"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2:22" ht="16.5" customHeight="1" x14ac:dyDescent="0.25">
      <c r="B4" s="380" t="s">
        <v>191</v>
      </c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</row>
    <row r="5" spans="2:22" s="56" customFormat="1" ht="39.75" customHeight="1" thickBot="1" x14ac:dyDescent="0.3">
      <c r="B5" s="106" t="s">
        <v>9</v>
      </c>
      <c r="C5" s="104" t="s">
        <v>10</v>
      </c>
      <c r="D5" s="103" t="s">
        <v>0</v>
      </c>
      <c r="E5" s="61" t="s">
        <v>11</v>
      </c>
      <c r="F5" s="96" t="s">
        <v>150</v>
      </c>
      <c r="G5" s="43" t="s">
        <v>180</v>
      </c>
      <c r="H5" s="98" t="s">
        <v>182</v>
      </c>
      <c r="I5" s="97" t="s">
        <v>169</v>
      </c>
      <c r="J5" s="103" t="s">
        <v>170</v>
      </c>
      <c r="K5" s="103" t="s">
        <v>12</v>
      </c>
      <c r="L5" s="99" t="s">
        <v>107</v>
      </c>
      <c r="M5" s="100" t="s">
        <v>143</v>
      </c>
      <c r="N5" s="100" t="s">
        <v>13</v>
      </c>
      <c r="O5" s="101" t="s">
        <v>171</v>
      </c>
      <c r="P5" s="44" t="s">
        <v>16</v>
      </c>
      <c r="Q5" s="101" t="s">
        <v>17</v>
      </c>
      <c r="R5" s="100" t="s">
        <v>72</v>
      </c>
      <c r="S5" s="99" t="s">
        <v>8</v>
      </c>
      <c r="T5" s="98" t="s">
        <v>18</v>
      </c>
      <c r="U5" s="98" t="s">
        <v>73</v>
      </c>
      <c r="V5" s="102"/>
    </row>
    <row r="6" spans="2:22" ht="15.75" thickTop="1" x14ac:dyDescent="0.25">
      <c r="B6" s="105" t="s">
        <v>19</v>
      </c>
      <c r="C6" s="2" t="s">
        <v>20</v>
      </c>
      <c r="D6" s="107"/>
      <c r="E6" s="95"/>
      <c r="F6" s="15"/>
      <c r="G6" s="15"/>
      <c r="H6" s="15"/>
      <c r="I6" s="95"/>
      <c r="J6" s="95"/>
      <c r="K6" s="95"/>
      <c r="L6" s="15"/>
      <c r="M6" s="15"/>
      <c r="N6" s="15"/>
      <c r="O6" s="95"/>
      <c r="P6" s="15"/>
      <c r="Q6" s="95"/>
      <c r="R6" s="15"/>
    </row>
    <row r="7" spans="2:22" x14ac:dyDescent="0.25">
      <c r="B7" t="s">
        <v>21</v>
      </c>
      <c r="C7" s="11" t="s">
        <v>22</v>
      </c>
      <c r="D7" t="s">
        <v>25</v>
      </c>
      <c r="E7" s="15">
        <v>16954.95</v>
      </c>
      <c r="F7" s="29">
        <v>15</v>
      </c>
      <c r="G7" s="108">
        <v>2700</v>
      </c>
      <c r="H7" s="15"/>
      <c r="I7" s="15"/>
      <c r="J7" s="15"/>
      <c r="K7" s="15">
        <f>E7-I7</f>
        <v>16954.95</v>
      </c>
      <c r="L7" s="15">
        <v>0</v>
      </c>
      <c r="M7" s="15">
        <v>3246.93</v>
      </c>
      <c r="N7" s="15">
        <f>M7-L7</f>
        <v>3246.93</v>
      </c>
      <c r="O7" s="15">
        <v>0</v>
      </c>
      <c r="P7" s="20">
        <f>E7*0.115+0.01</f>
        <v>1949.8292500000002</v>
      </c>
      <c r="Q7" s="15">
        <f>SUM(N7:P7)+G7</f>
        <v>7896.7592500000001</v>
      </c>
      <c r="R7" s="84">
        <f>K7-Q7</f>
        <v>9058.1907500000016</v>
      </c>
      <c r="S7" s="11">
        <v>328.67</v>
      </c>
      <c r="T7" s="11">
        <v>3390.99</v>
      </c>
      <c r="U7" s="35">
        <f>SUM(S7:T7)</f>
        <v>3719.66</v>
      </c>
    </row>
    <row r="8" spans="2:22" x14ac:dyDescent="0.25">
      <c r="B8" t="s">
        <v>23</v>
      </c>
      <c r="C8" s="11" t="s">
        <v>24</v>
      </c>
      <c r="D8" t="s">
        <v>3</v>
      </c>
      <c r="E8" s="15">
        <v>4850</v>
      </c>
      <c r="F8" s="29">
        <v>15</v>
      </c>
      <c r="G8" s="108">
        <v>809</v>
      </c>
      <c r="H8" s="15"/>
      <c r="I8" s="15"/>
      <c r="J8" s="15"/>
      <c r="K8" s="15">
        <f>E8-I8</f>
        <v>4850</v>
      </c>
      <c r="L8" s="15">
        <v>0</v>
      </c>
      <c r="M8" s="15">
        <v>491.69</v>
      </c>
      <c r="N8" s="15">
        <f>M8-L8</f>
        <v>491.69</v>
      </c>
      <c r="O8" s="15">
        <v>0</v>
      </c>
      <c r="P8" s="20">
        <f>E8*0.115-0.03</f>
        <v>557.72</v>
      </c>
      <c r="Q8" s="15">
        <f>SUM(N8:P8)+G8</f>
        <v>1858.41</v>
      </c>
      <c r="R8" s="84">
        <f>K8-Q8</f>
        <v>2991.59</v>
      </c>
      <c r="S8" s="11">
        <v>253.58</v>
      </c>
      <c r="T8" s="11">
        <v>970</v>
      </c>
      <c r="U8" s="35">
        <f t="shared" ref="U8" si="0">SUM(S8:T8)</f>
        <v>1223.58</v>
      </c>
    </row>
    <row r="9" spans="2:22" x14ac:dyDescent="0.25">
      <c r="B9" s="7" t="s">
        <v>26</v>
      </c>
      <c r="C9" s="30"/>
      <c r="D9" s="30"/>
      <c r="E9" s="34">
        <f>SUM(E7:E8)</f>
        <v>21804.95</v>
      </c>
      <c r="F9" s="34"/>
      <c r="G9" s="34">
        <f>+G8+G7</f>
        <v>3509</v>
      </c>
      <c r="H9" s="34"/>
      <c r="I9" s="34">
        <f t="shared" ref="I9:U9" si="1">SUM(I7:I8)</f>
        <v>0</v>
      </c>
      <c r="J9" s="34">
        <f t="shared" si="1"/>
        <v>0</v>
      </c>
      <c r="K9" s="34">
        <f t="shared" si="1"/>
        <v>21804.95</v>
      </c>
      <c r="L9" s="34">
        <f t="shared" si="1"/>
        <v>0</v>
      </c>
      <c r="M9" s="34">
        <f t="shared" si="1"/>
        <v>3738.62</v>
      </c>
      <c r="N9" s="34">
        <f t="shared" si="1"/>
        <v>3738.62</v>
      </c>
      <c r="O9" s="34">
        <f t="shared" si="1"/>
        <v>0</v>
      </c>
      <c r="P9" s="34">
        <f>SUM(P7:P8)</f>
        <v>2507.54925</v>
      </c>
      <c r="Q9" s="34">
        <f t="shared" si="1"/>
        <v>9755.1692500000008</v>
      </c>
      <c r="R9" s="34">
        <f t="shared" si="1"/>
        <v>12049.780750000002</v>
      </c>
      <c r="S9" s="34">
        <f t="shared" si="1"/>
        <v>582.25</v>
      </c>
      <c r="T9" s="34">
        <f t="shared" si="1"/>
        <v>4360.99</v>
      </c>
      <c r="U9" s="34">
        <f t="shared" si="1"/>
        <v>4943.24</v>
      </c>
    </row>
    <row r="10" spans="2:22" ht="10.5" hidden="1" customHeight="1" x14ac:dyDescent="0.25"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2:22" x14ac:dyDescent="0.25">
      <c r="B11" s="2" t="s">
        <v>27</v>
      </c>
      <c r="C11" s="2" t="s">
        <v>28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2:22" x14ac:dyDescent="0.25">
      <c r="B12" t="s">
        <v>32</v>
      </c>
      <c r="C12" s="11" t="s">
        <v>37</v>
      </c>
      <c r="D12" t="s">
        <v>1</v>
      </c>
      <c r="E12" s="15">
        <v>10000</v>
      </c>
      <c r="F12" s="29">
        <v>15</v>
      </c>
      <c r="G12" s="108">
        <v>3334</v>
      </c>
      <c r="H12" s="15"/>
      <c r="I12" s="15"/>
      <c r="J12" s="15"/>
      <c r="K12" s="15">
        <f t="shared" ref="K12:K19" si="2">E12-I12</f>
        <v>10000</v>
      </c>
      <c r="L12" s="15">
        <v>0</v>
      </c>
      <c r="M12" s="15">
        <v>1581.44</v>
      </c>
      <c r="N12" s="15">
        <f>M12-L12</f>
        <v>1581.44</v>
      </c>
      <c r="O12" s="15">
        <v>0</v>
      </c>
      <c r="P12" s="15">
        <f t="shared" ref="P12:P18" si="3">E12*0.115</f>
        <v>1150</v>
      </c>
      <c r="Q12" s="15">
        <f>SUM(N12:P12)+G12</f>
        <v>6065.4400000000005</v>
      </c>
      <c r="R12" s="84">
        <f t="shared" ref="R12:R19" si="4">K12-Q12</f>
        <v>3934.5599999999995</v>
      </c>
      <c r="S12" s="11">
        <v>285.52999999999997</v>
      </c>
      <c r="T12" s="11">
        <v>2000</v>
      </c>
      <c r="U12" s="35">
        <f>S12+T12</f>
        <v>2285.5299999999997</v>
      </c>
    </row>
    <row r="13" spans="2:22" x14ac:dyDescent="0.25">
      <c r="B13" t="s">
        <v>33</v>
      </c>
      <c r="C13" s="11" t="s">
        <v>38</v>
      </c>
      <c r="D13" t="s">
        <v>74</v>
      </c>
      <c r="E13" s="15">
        <v>5350</v>
      </c>
      <c r="F13" s="29">
        <v>15</v>
      </c>
      <c r="G13" s="15"/>
      <c r="H13" s="15"/>
      <c r="I13" s="77"/>
      <c r="J13" s="19"/>
      <c r="K13" s="15">
        <f>E13-I13</f>
        <v>5350</v>
      </c>
      <c r="L13" s="15">
        <v>0</v>
      </c>
      <c r="M13" s="15">
        <v>586.75</v>
      </c>
      <c r="N13" s="15">
        <v>588.20000000000005</v>
      </c>
      <c r="O13" s="15">
        <v>0</v>
      </c>
      <c r="P13" s="15">
        <f>E13*0.115-0.01</f>
        <v>615.24</v>
      </c>
      <c r="Q13" s="15">
        <f t="shared" ref="Q13:Q19" si="5">SUM(N13:P13)+G13</f>
        <v>1203.44</v>
      </c>
      <c r="R13" s="84">
        <f t="shared" si="4"/>
        <v>4146.5599999999995</v>
      </c>
      <c r="S13" s="11">
        <v>256.68</v>
      </c>
      <c r="T13" s="11">
        <v>1070</v>
      </c>
      <c r="U13" s="35">
        <f>S13+T13</f>
        <v>1326.68</v>
      </c>
    </row>
    <row r="14" spans="2:22" x14ac:dyDescent="0.25">
      <c r="B14" t="s">
        <v>34</v>
      </c>
      <c r="C14" s="11" t="s">
        <v>178</v>
      </c>
      <c r="D14" t="s">
        <v>179</v>
      </c>
      <c r="E14" s="15">
        <v>5350</v>
      </c>
      <c r="F14" s="29">
        <v>15</v>
      </c>
      <c r="G14" s="15"/>
      <c r="H14" s="20"/>
      <c r="I14" s="19"/>
      <c r="J14" s="19"/>
      <c r="K14" s="15">
        <f>+E14+H14</f>
        <v>5350</v>
      </c>
      <c r="L14" s="15">
        <v>0</v>
      </c>
      <c r="M14" s="15">
        <v>586.75</v>
      </c>
      <c r="N14" s="15">
        <v>588.20000000000005</v>
      </c>
      <c r="O14" s="15">
        <v>0</v>
      </c>
      <c r="P14" s="15"/>
      <c r="Q14" s="15">
        <f>SUM(N14:P14)+G14</f>
        <v>588.20000000000005</v>
      </c>
      <c r="R14" s="84">
        <f>K14-Q14</f>
        <v>4761.8</v>
      </c>
      <c r="S14" s="11">
        <v>256.68</v>
      </c>
      <c r="T14" s="11">
        <v>0</v>
      </c>
      <c r="U14" s="35">
        <f>S14+T14</f>
        <v>256.68</v>
      </c>
    </row>
    <row r="15" spans="2:22" x14ac:dyDescent="0.25">
      <c r="B15" t="s">
        <v>35</v>
      </c>
      <c r="C15" t="s">
        <v>111</v>
      </c>
      <c r="D15" t="s">
        <v>77</v>
      </c>
      <c r="E15" s="15">
        <v>6000</v>
      </c>
      <c r="F15" s="29">
        <v>15</v>
      </c>
      <c r="G15" s="15"/>
      <c r="H15" s="15"/>
      <c r="I15" s="15"/>
      <c r="J15" s="15"/>
      <c r="K15" s="15">
        <f t="shared" si="2"/>
        <v>6000</v>
      </c>
      <c r="L15" s="15">
        <v>0</v>
      </c>
      <c r="M15" s="15">
        <v>727.04</v>
      </c>
      <c r="N15" s="15">
        <f t="shared" ref="N15:N19" si="6">M15-L15</f>
        <v>727.04</v>
      </c>
      <c r="O15" s="15">
        <v>0</v>
      </c>
      <c r="P15" s="15">
        <f t="shared" si="3"/>
        <v>690</v>
      </c>
      <c r="Q15" s="15">
        <f t="shared" si="5"/>
        <v>1417.04</v>
      </c>
      <c r="R15" s="84">
        <f t="shared" si="4"/>
        <v>4582.96</v>
      </c>
      <c r="S15" s="11">
        <v>260.72000000000003</v>
      </c>
      <c r="T15" s="11">
        <v>1200</v>
      </c>
      <c r="U15" s="35">
        <f>S15+T15</f>
        <v>1460.72</v>
      </c>
    </row>
    <row r="16" spans="2:22" x14ac:dyDescent="0.25">
      <c r="B16" t="s">
        <v>36</v>
      </c>
      <c r="C16" t="s">
        <v>86</v>
      </c>
      <c r="D16" t="s">
        <v>39</v>
      </c>
      <c r="E16" s="15">
        <v>4500</v>
      </c>
      <c r="F16" s="29">
        <v>15</v>
      </c>
      <c r="G16" s="108">
        <v>750</v>
      </c>
      <c r="H16" s="15"/>
      <c r="I16" s="15"/>
      <c r="J16" s="15"/>
      <c r="K16" s="15">
        <f t="shared" si="2"/>
        <v>4500</v>
      </c>
      <c r="L16" s="15">
        <v>0</v>
      </c>
      <c r="M16" s="15">
        <v>428.97</v>
      </c>
      <c r="N16" s="15">
        <f t="shared" si="6"/>
        <v>428.97</v>
      </c>
      <c r="O16" s="15">
        <v>0</v>
      </c>
      <c r="P16" s="15">
        <f>E16*0.115-52.5</f>
        <v>465</v>
      </c>
      <c r="Q16" s="15">
        <f t="shared" si="5"/>
        <v>1643.97</v>
      </c>
      <c r="R16" s="84">
        <f t="shared" si="4"/>
        <v>2856.0299999999997</v>
      </c>
      <c r="S16" s="11">
        <v>251.41</v>
      </c>
      <c r="T16" s="11">
        <v>900</v>
      </c>
      <c r="U16" s="35">
        <f>S16+T16</f>
        <v>1151.4100000000001</v>
      </c>
    </row>
    <row r="17" spans="2:21" x14ac:dyDescent="0.25">
      <c r="B17" t="s">
        <v>115</v>
      </c>
      <c r="C17" t="s">
        <v>87</v>
      </c>
      <c r="D17" t="s">
        <v>39</v>
      </c>
      <c r="E17" s="15">
        <v>4500</v>
      </c>
      <c r="F17" s="29">
        <v>15</v>
      </c>
      <c r="G17" s="108">
        <v>610</v>
      </c>
      <c r="H17" s="15"/>
      <c r="I17" s="15"/>
      <c r="J17" s="15"/>
      <c r="K17" s="15">
        <f t="shared" si="2"/>
        <v>4500</v>
      </c>
      <c r="L17" s="15">
        <v>0</v>
      </c>
      <c r="M17" s="15">
        <v>428.97</v>
      </c>
      <c r="N17" s="15">
        <v>428.97</v>
      </c>
      <c r="O17" s="15">
        <v>0</v>
      </c>
      <c r="P17" s="15">
        <f t="shared" si="3"/>
        <v>517.5</v>
      </c>
      <c r="Q17" s="15">
        <f t="shared" si="5"/>
        <v>1556.47</v>
      </c>
      <c r="R17" s="84">
        <f t="shared" si="4"/>
        <v>2943.5299999999997</v>
      </c>
      <c r="S17" s="11">
        <v>251.41</v>
      </c>
      <c r="T17" s="11">
        <v>900</v>
      </c>
      <c r="U17" s="35">
        <f t="shared" ref="U17:U19" si="7">S17+T17</f>
        <v>1151.4100000000001</v>
      </c>
    </row>
    <row r="18" spans="2:21" x14ac:dyDescent="0.25">
      <c r="B18" t="s">
        <v>116</v>
      </c>
      <c r="C18" t="s">
        <v>89</v>
      </c>
      <c r="D18" t="s">
        <v>4</v>
      </c>
      <c r="E18" s="15">
        <v>2700</v>
      </c>
      <c r="F18" s="29">
        <v>15</v>
      </c>
      <c r="G18" s="108">
        <v>450</v>
      </c>
      <c r="H18" s="15"/>
      <c r="I18" s="15"/>
      <c r="J18" s="15"/>
      <c r="K18" s="15">
        <f t="shared" si="2"/>
        <v>2700</v>
      </c>
      <c r="L18" s="15">
        <v>147.32</v>
      </c>
      <c r="M18" s="15">
        <v>188.33</v>
      </c>
      <c r="N18" s="15">
        <f t="shared" si="6"/>
        <v>41.010000000000019</v>
      </c>
      <c r="O18" s="15">
        <v>0</v>
      </c>
      <c r="P18" s="20">
        <f t="shared" si="3"/>
        <v>310.5</v>
      </c>
      <c r="Q18" s="15">
        <f t="shared" si="5"/>
        <v>801.51</v>
      </c>
      <c r="R18" s="84">
        <f t="shared" si="4"/>
        <v>1898.49</v>
      </c>
      <c r="S18" s="11">
        <v>240.25</v>
      </c>
      <c r="T18" s="11">
        <v>540</v>
      </c>
      <c r="U18" s="35">
        <f t="shared" si="7"/>
        <v>780.25</v>
      </c>
    </row>
    <row r="19" spans="2:21" x14ac:dyDescent="0.25">
      <c r="B19" t="s">
        <v>117</v>
      </c>
      <c r="C19" t="s">
        <v>88</v>
      </c>
      <c r="D19" t="s">
        <v>40</v>
      </c>
      <c r="E19" s="15">
        <v>3150</v>
      </c>
      <c r="F19" s="29">
        <v>15</v>
      </c>
      <c r="G19" s="108">
        <v>1029</v>
      </c>
      <c r="H19" s="15"/>
      <c r="I19" s="15"/>
      <c r="J19" s="15"/>
      <c r="K19" s="15">
        <f t="shared" si="2"/>
        <v>3150</v>
      </c>
      <c r="L19" s="15">
        <v>126.77</v>
      </c>
      <c r="M19" s="15">
        <v>237.29</v>
      </c>
      <c r="N19" s="15">
        <f t="shared" si="6"/>
        <v>110.52</v>
      </c>
      <c r="O19" s="15">
        <v>0</v>
      </c>
      <c r="P19" s="20">
        <f>E19*0.115-31.51</f>
        <v>330.74</v>
      </c>
      <c r="Q19" s="15">
        <f t="shared" si="5"/>
        <v>1470.26</v>
      </c>
      <c r="R19" s="84">
        <f t="shared" si="4"/>
        <v>1679.74</v>
      </c>
      <c r="S19" s="11">
        <v>243.04</v>
      </c>
      <c r="T19" s="11">
        <v>630</v>
      </c>
      <c r="U19" s="35">
        <f t="shared" si="7"/>
        <v>873.04</v>
      </c>
    </row>
    <row r="20" spans="2:21" x14ac:dyDescent="0.25">
      <c r="B20" s="2" t="s">
        <v>26</v>
      </c>
      <c r="C20" s="30"/>
      <c r="D20" s="30"/>
      <c r="E20" s="34">
        <f>SUM(E12:E19)</f>
        <v>41550</v>
      </c>
      <c r="F20" s="34"/>
      <c r="G20" s="34">
        <f>+G19+G18+G17+G16+G12</f>
        <v>6173</v>
      </c>
      <c r="H20" s="34"/>
      <c r="I20" s="34">
        <f t="shared" ref="I20:U20" si="8">SUM(I12:I19)</f>
        <v>0</v>
      </c>
      <c r="J20" s="34">
        <f t="shared" si="8"/>
        <v>0</v>
      </c>
      <c r="K20" s="34">
        <f t="shared" si="8"/>
        <v>41550</v>
      </c>
      <c r="L20" s="34">
        <f t="shared" si="8"/>
        <v>274.08999999999997</v>
      </c>
      <c r="M20" s="34">
        <f t="shared" si="8"/>
        <v>4765.54</v>
      </c>
      <c r="N20" s="34">
        <f t="shared" si="8"/>
        <v>4494.3500000000013</v>
      </c>
      <c r="O20" s="34">
        <f t="shared" si="8"/>
        <v>0</v>
      </c>
      <c r="P20" s="34">
        <f>SUM(P12:P19)</f>
        <v>4078.9799999999996</v>
      </c>
      <c r="Q20" s="34">
        <f t="shared" si="8"/>
        <v>14746.33</v>
      </c>
      <c r="R20" s="34">
        <f t="shared" si="8"/>
        <v>26803.67</v>
      </c>
      <c r="S20" s="34">
        <f t="shared" si="8"/>
        <v>2045.7200000000003</v>
      </c>
      <c r="T20" s="34">
        <f t="shared" si="8"/>
        <v>7240</v>
      </c>
      <c r="U20" s="34">
        <f t="shared" si="8"/>
        <v>9285.7200000000012</v>
      </c>
    </row>
    <row r="21" spans="2:21" hidden="1" x14ac:dyDescent="0.25">
      <c r="B21" s="2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2:21" x14ac:dyDescent="0.25">
      <c r="B22" s="2" t="s">
        <v>50</v>
      </c>
      <c r="C22" s="2" t="s">
        <v>160</v>
      </c>
      <c r="E22" s="15"/>
      <c r="F22" s="15"/>
      <c r="G22" s="15"/>
      <c r="H22" s="15"/>
      <c r="I22" s="15"/>
      <c r="J22" s="15"/>
      <c r="K22" s="15"/>
      <c r="L22" s="94"/>
      <c r="M22" s="15"/>
      <c r="N22" s="15"/>
      <c r="O22" s="15"/>
      <c r="P22" s="15"/>
      <c r="Q22" s="15"/>
      <c r="R22" s="15"/>
    </row>
    <row r="23" spans="2:21" x14ac:dyDescent="0.25">
      <c r="B23" t="s">
        <v>119</v>
      </c>
      <c r="C23" t="s">
        <v>91</v>
      </c>
      <c r="D23" t="s">
        <v>76</v>
      </c>
      <c r="E23" s="15">
        <v>5350</v>
      </c>
      <c r="F23" s="29">
        <v>15</v>
      </c>
      <c r="G23" s="108">
        <v>892</v>
      </c>
      <c r="H23" s="15"/>
      <c r="I23" s="71">
        <v>4.25</v>
      </c>
      <c r="J23" s="15"/>
      <c r="K23" s="15">
        <f>E23-I23</f>
        <v>5345.75</v>
      </c>
      <c r="L23" s="15">
        <v>0</v>
      </c>
      <c r="M23" s="15">
        <v>453.47</v>
      </c>
      <c r="N23" s="15">
        <v>588.20000000000005</v>
      </c>
      <c r="O23" s="15">
        <v>0</v>
      </c>
      <c r="P23" s="20">
        <f>E23*0.115-0.02</f>
        <v>615.23</v>
      </c>
      <c r="Q23" s="15">
        <f>SUM(N23:P23)+G23</f>
        <v>2095.4300000000003</v>
      </c>
      <c r="R23" s="84">
        <f>K23-Q23</f>
        <v>3250.3199999999997</v>
      </c>
      <c r="S23" s="11">
        <v>256.68</v>
      </c>
      <c r="T23" s="11">
        <v>1070</v>
      </c>
      <c r="U23" s="35">
        <f>S23+T23</f>
        <v>1326.68</v>
      </c>
    </row>
    <row r="24" spans="2:21" x14ac:dyDescent="0.25">
      <c r="B24" t="s">
        <v>120</v>
      </c>
      <c r="C24" t="s">
        <v>93</v>
      </c>
      <c r="D24" t="s">
        <v>78</v>
      </c>
      <c r="E24" s="15">
        <v>5350</v>
      </c>
      <c r="F24" s="29">
        <v>15</v>
      </c>
      <c r="G24" s="108">
        <v>1115</v>
      </c>
      <c r="H24" s="15"/>
      <c r="I24" s="71"/>
      <c r="J24" s="15"/>
      <c r="K24" s="15">
        <f>E24-I24</f>
        <v>5350</v>
      </c>
      <c r="L24" s="15">
        <v>0</v>
      </c>
      <c r="M24" s="15">
        <v>588.20000000000005</v>
      </c>
      <c r="N24" s="15">
        <f>M24-L24</f>
        <v>588.20000000000005</v>
      </c>
      <c r="O24" s="15">
        <v>0</v>
      </c>
      <c r="P24" s="20">
        <f>E24*0.115-0.29</f>
        <v>614.96</v>
      </c>
      <c r="Q24" s="15">
        <f>SUM(N24:P24)+G24</f>
        <v>2318.16</v>
      </c>
      <c r="R24" s="84">
        <f>K24-Q24</f>
        <v>3031.84</v>
      </c>
      <c r="S24" s="11">
        <v>256.68</v>
      </c>
      <c r="T24" s="11">
        <v>1070</v>
      </c>
      <c r="U24" s="35">
        <f>S24+T24</f>
        <v>1326.68</v>
      </c>
    </row>
    <row r="25" spans="2:21" x14ac:dyDescent="0.25">
      <c r="B25" t="s">
        <v>121</v>
      </c>
      <c r="C25" t="s">
        <v>114</v>
      </c>
      <c r="D25" t="s">
        <v>186</v>
      </c>
      <c r="E25" s="15">
        <v>5350</v>
      </c>
      <c r="F25" s="29">
        <v>15</v>
      </c>
      <c r="G25" s="15"/>
      <c r="H25" s="15"/>
      <c r="I25" s="71"/>
      <c r="J25" s="15"/>
      <c r="K25" s="15">
        <f>E25-I25</f>
        <v>5350</v>
      </c>
      <c r="L25" s="15">
        <v>0</v>
      </c>
      <c r="M25" s="15">
        <v>588.20000000000005</v>
      </c>
      <c r="N25" s="15">
        <f>M25-L25</f>
        <v>588.20000000000005</v>
      </c>
      <c r="O25" s="15">
        <v>0</v>
      </c>
      <c r="P25" s="20">
        <f>E25*0.115</f>
        <v>615.25</v>
      </c>
      <c r="Q25" s="15">
        <f>SUM(N25:P25)+G25</f>
        <v>1203.45</v>
      </c>
      <c r="R25" s="84">
        <f>K25-Q25</f>
        <v>4146.55</v>
      </c>
      <c r="S25" s="11">
        <v>256.68</v>
      </c>
      <c r="T25" s="11">
        <v>1070</v>
      </c>
      <c r="U25" s="35">
        <f>S25+T25</f>
        <v>1326.68</v>
      </c>
    </row>
    <row r="26" spans="2:21" x14ac:dyDescent="0.25">
      <c r="B26" s="2" t="s">
        <v>26</v>
      </c>
      <c r="C26" s="30"/>
      <c r="D26" s="30"/>
      <c r="E26" s="34">
        <f>SUM(E23:E25)</f>
        <v>16050</v>
      </c>
      <c r="F26" s="34"/>
      <c r="G26" s="34">
        <f>+G25+G24+G23</f>
        <v>2007</v>
      </c>
      <c r="H26" s="34"/>
      <c r="I26" s="34">
        <f>SUM(I23:I25)</f>
        <v>4.25</v>
      </c>
      <c r="J26" s="34">
        <f>SUM(J23:J25)</f>
        <v>0</v>
      </c>
      <c r="K26" s="34">
        <f t="shared" ref="K26:U26" si="9">SUM(K23:K25)</f>
        <v>16045.75</v>
      </c>
      <c r="L26" s="34">
        <f t="shared" si="9"/>
        <v>0</v>
      </c>
      <c r="M26" s="34">
        <f t="shared" si="9"/>
        <v>1629.8700000000001</v>
      </c>
      <c r="N26" s="34">
        <f t="shared" si="9"/>
        <v>1764.6000000000001</v>
      </c>
      <c r="O26" s="34">
        <f t="shared" si="9"/>
        <v>0</v>
      </c>
      <c r="P26" s="34">
        <f>SUM(P23:P25)</f>
        <v>1845.44</v>
      </c>
      <c r="Q26" s="34">
        <f t="shared" si="9"/>
        <v>5617.04</v>
      </c>
      <c r="R26" s="34">
        <f t="shared" si="9"/>
        <v>10428.709999999999</v>
      </c>
      <c r="S26" s="34">
        <f t="shared" si="9"/>
        <v>770.04</v>
      </c>
      <c r="T26" s="34">
        <f t="shared" si="9"/>
        <v>3210</v>
      </c>
      <c r="U26" s="34">
        <f t="shared" si="9"/>
        <v>3980.04</v>
      </c>
    </row>
    <row r="27" spans="2:21" hidden="1" x14ac:dyDescent="0.25"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2:21" x14ac:dyDescent="0.25">
      <c r="B28" s="2" t="s">
        <v>63</v>
      </c>
      <c r="C28" s="2" t="s">
        <v>51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2:21" x14ac:dyDescent="0.25">
      <c r="B29" t="s">
        <v>122</v>
      </c>
      <c r="C29" t="s">
        <v>97</v>
      </c>
      <c r="D29" t="s">
        <v>80</v>
      </c>
      <c r="E29" s="15">
        <v>5350</v>
      </c>
      <c r="F29" s="29">
        <v>15</v>
      </c>
      <c r="G29" s="15"/>
      <c r="H29" s="15"/>
      <c r="I29" s="71"/>
      <c r="J29" s="15"/>
      <c r="K29" s="15">
        <f t="shared" ref="K29:K39" si="10">E29-I29</f>
        <v>5350</v>
      </c>
      <c r="L29" s="15">
        <v>0</v>
      </c>
      <c r="M29" s="15">
        <v>588.20000000000005</v>
      </c>
      <c r="N29" s="15">
        <f>M29-L29</f>
        <v>588.20000000000005</v>
      </c>
      <c r="O29" s="15">
        <v>0</v>
      </c>
      <c r="P29" s="20">
        <f>E29*0.115-0.05</f>
        <v>615.20000000000005</v>
      </c>
      <c r="Q29" s="15">
        <f t="shared" ref="Q29:Q39" si="11">SUM(N29:P29)+G29</f>
        <v>1203.4000000000001</v>
      </c>
      <c r="R29" s="84">
        <f t="shared" ref="R29:R39" si="12">K29-Q29</f>
        <v>4146.6000000000004</v>
      </c>
      <c r="S29" s="11">
        <v>256.68</v>
      </c>
      <c r="T29" s="11">
        <v>1070</v>
      </c>
      <c r="U29" s="35">
        <f t="shared" ref="U29:U39" si="13">S29+T29</f>
        <v>1326.68</v>
      </c>
    </row>
    <row r="30" spans="2:21" x14ac:dyDescent="0.25">
      <c r="B30" t="s">
        <v>123</v>
      </c>
      <c r="C30" t="s">
        <v>100</v>
      </c>
      <c r="D30" t="s">
        <v>80</v>
      </c>
      <c r="E30" s="15">
        <v>5350</v>
      </c>
      <c r="F30" s="29">
        <v>15</v>
      </c>
      <c r="G30" s="15"/>
      <c r="H30" s="15"/>
      <c r="I30" s="77"/>
      <c r="J30" s="20"/>
      <c r="K30" s="20">
        <f t="shared" si="10"/>
        <v>5350</v>
      </c>
      <c r="L30" s="20">
        <v>0</v>
      </c>
      <c r="M30" s="20">
        <v>587.48</v>
      </c>
      <c r="N30" s="20">
        <v>588.20000000000005</v>
      </c>
      <c r="O30" s="15">
        <v>0</v>
      </c>
      <c r="P30" s="20">
        <f>E30*0.115-0.02</f>
        <v>615.23</v>
      </c>
      <c r="Q30" s="15">
        <f t="shared" si="11"/>
        <v>1203.43</v>
      </c>
      <c r="R30" s="84">
        <f t="shared" si="12"/>
        <v>4146.57</v>
      </c>
      <c r="S30" s="11">
        <v>256.68</v>
      </c>
      <c r="T30" s="11">
        <v>1070</v>
      </c>
      <c r="U30" s="35">
        <f t="shared" si="13"/>
        <v>1326.68</v>
      </c>
    </row>
    <row r="31" spans="2:21" x14ac:dyDescent="0.25">
      <c r="B31" t="s">
        <v>124</v>
      </c>
      <c r="C31" t="s">
        <v>96</v>
      </c>
      <c r="D31" t="s">
        <v>78</v>
      </c>
      <c r="E31" s="15">
        <v>5350</v>
      </c>
      <c r="F31" s="29">
        <v>15</v>
      </c>
      <c r="G31" s="15"/>
      <c r="H31" s="15"/>
      <c r="I31" s="20"/>
      <c r="J31" s="20"/>
      <c r="K31" s="20">
        <f t="shared" si="10"/>
        <v>5350</v>
      </c>
      <c r="L31" s="20">
        <v>0</v>
      </c>
      <c r="M31" s="20">
        <v>588.20000000000005</v>
      </c>
      <c r="N31" s="20">
        <f t="shared" ref="N31:N39" si="14">M31-L31</f>
        <v>588.20000000000005</v>
      </c>
      <c r="O31" s="15">
        <v>0</v>
      </c>
      <c r="P31" s="20">
        <f>E31*0.115-0.04</f>
        <v>615.21</v>
      </c>
      <c r="Q31" s="15">
        <f t="shared" si="11"/>
        <v>1203.4100000000001</v>
      </c>
      <c r="R31" s="84">
        <f t="shared" si="12"/>
        <v>4146.59</v>
      </c>
      <c r="S31" s="11">
        <v>256.68</v>
      </c>
      <c r="T31" s="11">
        <v>1070</v>
      </c>
      <c r="U31" s="35">
        <f t="shared" si="13"/>
        <v>1326.68</v>
      </c>
    </row>
    <row r="32" spans="2:21" x14ac:dyDescent="0.25">
      <c r="B32" t="s">
        <v>125</v>
      </c>
      <c r="C32" t="s">
        <v>104</v>
      </c>
      <c r="D32" t="s">
        <v>78</v>
      </c>
      <c r="E32" s="15">
        <v>5350</v>
      </c>
      <c r="F32" s="29">
        <v>15</v>
      </c>
      <c r="G32" s="15"/>
      <c r="H32" s="15"/>
      <c r="I32" s="77"/>
      <c r="J32" s="20"/>
      <c r="K32" s="20">
        <f t="shared" si="10"/>
        <v>5350</v>
      </c>
      <c r="L32" s="20">
        <v>0</v>
      </c>
      <c r="M32" s="20">
        <v>588.20000000000005</v>
      </c>
      <c r="N32" s="20">
        <f t="shared" si="14"/>
        <v>588.20000000000005</v>
      </c>
      <c r="O32" s="15">
        <v>0</v>
      </c>
      <c r="P32" s="20">
        <f t="shared" ref="P32:P39" si="15">E32*0.115-0.03</f>
        <v>615.22</v>
      </c>
      <c r="Q32" s="15">
        <f t="shared" si="11"/>
        <v>1203.42</v>
      </c>
      <c r="R32" s="84">
        <f t="shared" si="12"/>
        <v>4146.58</v>
      </c>
      <c r="S32" s="11">
        <v>256.68</v>
      </c>
      <c r="T32" s="11">
        <v>1070</v>
      </c>
      <c r="U32" s="35">
        <f t="shared" si="13"/>
        <v>1326.68</v>
      </c>
    </row>
    <row r="33" spans="2:21" x14ac:dyDescent="0.25">
      <c r="B33" t="s">
        <v>126</v>
      </c>
      <c r="C33" t="s">
        <v>94</v>
      </c>
      <c r="D33" t="s">
        <v>81</v>
      </c>
      <c r="E33" s="15">
        <v>5350</v>
      </c>
      <c r="F33" s="29">
        <v>15</v>
      </c>
      <c r="G33" s="108">
        <v>595</v>
      </c>
      <c r="H33" s="15"/>
      <c r="I33" s="77"/>
      <c r="J33" s="20"/>
      <c r="K33" s="20">
        <f>E33-I33</f>
        <v>5350</v>
      </c>
      <c r="L33" s="20">
        <v>0</v>
      </c>
      <c r="M33" s="20">
        <v>517.23</v>
      </c>
      <c r="N33" s="20">
        <v>588.02</v>
      </c>
      <c r="O33" s="15">
        <v>0</v>
      </c>
      <c r="P33" s="20">
        <f t="shared" si="15"/>
        <v>615.22</v>
      </c>
      <c r="Q33" s="15">
        <f t="shared" si="11"/>
        <v>1798.24</v>
      </c>
      <c r="R33" s="84">
        <f>K33-Q33</f>
        <v>3551.76</v>
      </c>
      <c r="S33" s="11">
        <v>256.68</v>
      </c>
      <c r="T33" s="11">
        <v>1070</v>
      </c>
      <c r="U33" s="35">
        <f t="shared" si="13"/>
        <v>1326.68</v>
      </c>
    </row>
    <row r="34" spans="2:21" x14ac:dyDescent="0.25">
      <c r="B34" t="s">
        <v>127</v>
      </c>
      <c r="C34" t="s">
        <v>98</v>
      </c>
      <c r="D34" t="s">
        <v>81</v>
      </c>
      <c r="E34" s="15">
        <v>5350</v>
      </c>
      <c r="F34" s="29">
        <v>15</v>
      </c>
      <c r="G34" s="15"/>
      <c r="H34" s="20"/>
      <c r="I34" s="77"/>
      <c r="J34" s="20"/>
      <c r="K34" s="20">
        <f>E34-I34</f>
        <v>5350</v>
      </c>
      <c r="L34" s="20">
        <v>0</v>
      </c>
      <c r="M34" s="20">
        <v>588.20000000000005</v>
      </c>
      <c r="N34" s="20">
        <f t="shared" si="14"/>
        <v>588.20000000000005</v>
      </c>
      <c r="O34" s="15">
        <v>0</v>
      </c>
      <c r="P34" s="20">
        <f t="shared" si="15"/>
        <v>615.22</v>
      </c>
      <c r="Q34" s="15">
        <f>SUM(N34:P34)+G34</f>
        <v>1203.42</v>
      </c>
      <c r="R34" s="84">
        <f>K34-Q34</f>
        <v>4146.58</v>
      </c>
      <c r="S34" s="11">
        <v>256.68</v>
      </c>
      <c r="T34" s="11">
        <v>1070</v>
      </c>
      <c r="U34" s="35">
        <f t="shared" si="13"/>
        <v>1326.68</v>
      </c>
    </row>
    <row r="35" spans="2:21" x14ac:dyDescent="0.25">
      <c r="B35" t="s">
        <v>128</v>
      </c>
      <c r="C35" t="s">
        <v>101</v>
      </c>
      <c r="D35" t="s">
        <v>81</v>
      </c>
      <c r="E35" s="15">
        <v>5350</v>
      </c>
      <c r="F35" s="29">
        <v>15</v>
      </c>
      <c r="G35" s="15"/>
      <c r="H35" s="15"/>
      <c r="I35" s="71"/>
      <c r="J35" s="20"/>
      <c r="K35" s="20">
        <f>E35-I35</f>
        <v>5350</v>
      </c>
      <c r="L35" s="20">
        <v>0</v>
      </c>
      <c r="M35" s="15">
        <v>588.20000000000005</v>
      </c>
      <c r="N35" s="15">
        <f>M35-L35</f>
        <v>588.20000000000005</v>
      </c>
      <c r="O35" s="15">
        <v>0</v>
      </c>
      <c r="P35" s="20">
        <f t="shared" si="15"/>
        <v>615.22</v>
      </c>
      <c r="Q35" s="15">
        <f>SUM(N35:P35)+G35</f>
        <v>1203.42</v>
      </c>
      <c r="R35" s="84">
        <f>K35-Q35</f>
        <v>4146.58</v>
      </c>
      <c r="S35" s="11">
        <v>256.68</v>
      </c>
      <c r="T35" s="11">
        <v>1070</v>
      </c>
      <c r="U35" s="35">
        <f t="shared" si="13"/>
        <v>1326.68</v>
      </c>
    </row>
    <row r="36" spans="2:21" x14ac:dyDescent="0.25">
      <c r="B36" t="s">
        <v>129</v>
      </c>
      <c r="C36" t="s">
        <v>95</v>
      </c>
      <c r="D36" t="s">
        <v>82</v>
      </c>
      <c r="E36" s="15">
        <v>5350</v>
      </c>
      <c r="F36" s="29">
        <v>15</v>
      </c>
      <c r="G36" s="108">
        <v>1190</v>
      </c>
      <c r="H36" s="15"/>
      <c r="I36" s="15"/>
      <c r="J36" s="15"/>
      <c r="K36" s="15">
        <f t="shared" si="10"/>
        <v>5350</v>
      </c>
      <c r="L36" s="15">
        <v>0</v>
      </c>
      <c r="M36" s="15">
        <v>588.20000000000005</v>
      </c>
      <c r="N36" s="15">
        <f t="shared" si="14"/>
        <v>588.20000000000005</v>
      </c>
      <c r="O36" s="15">
        <v>0</v>
      </c>
      <c r="P36" s="20">
        <f t="shared" si="15"/>
        <v>615.22</v>
      </c>
      <c r="Q36" s="15">
        <f t="shared" si="11"/>
        <v>2393.42</v>
      </c>
      <c r="R36" s="84">
        <f t="shared" si="12"/>
        <v>2956.58</v>
      </c>
      <c r="S36" s="11">
        <v>256.68</v>
      </c>
      <c r="T36" s="11">
        <v>1070</v>
      </c>
      <c r="U36" s="35">
        <f t="shared" si="13"/>
        <v>1326.68</v>
      </c>
    </row>
    <row r="37" spans="2:21" x14ac:dyDescent="0.25">
      <c r="B37" t="s">
        <v>130</v>
      </c>
      <c r="C37" t="s">
        <v>102</v>
      </c>
      <c r="D37" t="s">
        <v>82</v>
      </c>
      <c r="E37" s="15">
        <v>5350</v>
      </c>
      <c r="F37" s="29">
        <v>15</v>
      </c>
      <c r="G37" s="108">
        <v>927.62</v>
      </c>
      <c r="H37" s="15"/>
      <c r="I37" s="15"/>
      <c r="J37" s="15"/>
      <c r="K37" s="15">
        <f t="shared" si="10"/>
        <v>5350</v>
      </c>
      <c r="L37" s="15">
        <v>0</v>
      </c>
      <c r="M37" s="15">
        <v>586.03</v>
      </c>
      <c r="N37" s="15">
        <v>588.20000000000005</v>
      </c>
      <c r="O37" s="15">
        <v>0</v>
      </c>
      <c r="P37" s="20">
        <f t="shared" si="15"/>
        <v>615.22</v>
      </c>
      <c r="Q37" s="15">
        <f>SUM(N37:P37)+G37</f>
        <v>2131.04</v>
      </c>
      <c r="R37" s="84">
        <f t="shared" si="12"/>
        <v>3218.96</v>
      </c>
      <c r="S37" s="11">
        <v>256.68</v>
      </c>
      <c r="T37" s="11">
        <v>1070</v>
      </c>
      <c r="U37" s="35">
        <f t="shared" si="13"/>
        <v>1326.68</v>
      </c>
    </row>
    <row r="38" spans="2:21" x14ac:dyDescent="0.25">
      <c r="B38" t="s">
        <v>131</v>
      </c>
      <c r="C38" t="s">
        <v>85</v>
      </c>
      <c r="D38" t="s">
        <v>83</v>
      </c>
      <c r="E38" s="15">
        <v>5350</v>
      </c>
      <c r="F38" s="29">
        <v>15</v>
      </c>
      <c r="G38" s="108">
        <v>1784</v>
      </c>
      <c r="H38" s="15"/>
      <c r="I38" s="15"/>
      <c r="J38" s="15"/>
      <c r="K38" s="15">
        <f t="shared" si="10"/>
        <v>5350</v>
      </c>
      <c r="L38" s="15">
        <v>0</v>
      </c>
      <c r="M38" s="15">
        <v>588.20000000000005</v>
      </c>
      <c r="N38" s="15">
        <f t="shared" si="14"/>
        <v>588.20000000000005</v>
      </c>
      <c r="O38" s="15">
        <v>0</v>
      </c>
      <c r="P38" s="20">
        <f t="shared" si="15"/>
        <v>615.22</v>
      </c>
      <c r="Q38" s="15">
        <f t="shared" si="11"/>
        <v>2987.42</v>
      </c>
      <c r="R38" s="84">
        <f t="shared" si="12"/>
        <v>2362.58</v>
      </c>
      <c r="S38" s="11">
        <v>256.68</v>
      </c>
      <c r="T38" s="11">
        <v>1070</v>
      </c>
      <c r="U38" s="35">
        <f t="shared" si="13"/>
        <v>1326.68</v>
      </c>
    </row>
    <row r="39" spans="2:21" x14ac:dyDescent="0.25">
      <c r="B39" t="s">
        <v>132</v>
      </c>
      <c r="C39" t="s">
        <v>103</v>
      </c>
      <c r="D39" t="s">
        <v>83</v>
      </c>
      <c r="E39" s="15">
        <v>5350</v>
      </c>
      <c r="F39" s="29">
        <v>15</v>
      </c>
      <c r="G39" s="108">
        <v>1900</v>
      </c>
      <c r="H39" s="15"/>
      <c r="I39" s="71"/>
      <c r="J39" s="15"/>
      <c r="K39" s="15">
        <f t="shared" si="10"/>
        <v>5350</v>
      </c>
      <c r="L39" s="15">
        <v>0</v>
      </c>
      <c r="M39" s="15">
        <v>588.20000000000005</v>
      </c>
      <c r="N39" s="15">
        <f t="shared" si="14"/>
        <v>588.20000000000005</v>
      </c>
      <c r="O39" s="15">
        <v>0</v>
      </c>
      <c r="P39" s="20">
        <f t="shared" si="15"/>
        <v>615.22</v>
      </c>
      <c r="Q39" s="15">
        <f t="shared" si="11"/>
        <v>3103.42</v>
      </c>
      <c r="R39" s="84">
        <f t="shared" si="12"/>
        <v>2246.58</v>
      </c>
      <c r="S39" s="11">
        <v>256.68</v>
      </c>
      <c r="T39" s="11">
        <v>1070</v>
      </c>
      <c r="U39" s="35">
        <f t="shared" si="13"/>
        <v>1326.68</v>
      </c>
    </row>
    <row r="40" spans="2:21" x14ac:dyDescent="0.25">
      <c r="B40" s="2" t="s">
        <v>26</v>
      </c>
      <c r="C40" s="30"/>
      <c r="D40" s="30"/>
      <c r="E40" s="34">
        <f>SUM(E29:E39)</f>
        <v>58850</v>
      </c>
      <c r="F40" s="34"/>
      <c r="G40" s="34">
        <f>+G39+G38+G37+G36+G35+G34+G33</f>
        <v>6396.62</v>
      </c>
      <c r="H40" s="34"/>
      <c r="I40" s="34">
        <f>SUM(I29:I39)</f>
        <v>0</v>
      </c>
      <c r="J40" s="34">
        <f>SUM(J29:J39)</f>
        <v>0</v>
      </c>
      <c r="K40" s="34">
        <f>SUM(K29:K39)</f>
        <v>58850</v>
      </c>
      <c r="L40" s="34">
        <f t="shared" ref="L40:U40" si="16">SUM(L29:L39)</f>
        <v>0</v>
      </c>
      <c r="M40" s="34">
        <f t="shared" si="16"/>
        <v>6396.3399999999992</v>
      </c>
      <c r="N40" s="34">
        <f t="shared" si="16"/>
        <v>6470.0199999999995</v>
      </c>
      <c r="O40" s="34">
        <f t="shared" si="16"/>
        <v>0</v>
      </c>
      <c r="P40" s="34">
        <f>SUM(P29:P39)</f>
        <v>6767.4000000000015</v>
      </c>
      <c r="Q40" s="34">
        <f t="shared" si="16"/>
        <v>19634.04</v>
      </c>
      <c r="R40" s="34">
        <f t="shared" si="16"/>
        <v>39215.960000000006</v>
      </c>
      <c r="S40" s="34">
        <f t="shared" si="16"/>
        <v>2823.4799999999996</v>
      </c>
      <c r="T40" s="34">
        <f t="shared" si="16"/>
        <v>11770</v>
      </c>
      <c r="U40" s="34">
        <f t="shared" si="16"/>
        <v>14593.480000000001</v>
      </c>
    </row>
    <row r="41" spans="2:21" hidden="1" x14ac:dyDescent="0.25"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2:21" x14ac:dyDescent="0.25">
      <c r="B42" s="2" t="s">
        <v>140</v>
      </c>
      <c r="C42" s="2" t="s">
        <v>64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2:21" x14ac:dyDescent="0.25">
      <c r="B43" t="s">
        <v>133</v>
      </c>
      <c r="C43" t="s">
        <v>99</v>
      </c>
      <c r="D43" t="s">
        <v>80</v>
      </c>
      <c r="E43" s="15">
        <v>5350</v>
      </c>
      <c r="F43" s="29">
        <v>15</v>
      </c>
      <c r="G43" s="15"/>
      <c r="H43" s="15"/>
      <c r="I43" s="77"/>
      <c r="J43" s="20"/>
      <c r="K43" s="20">
        <f>E43-I43</f>
        <v>5350</v>
      </c>
      <c r="L43" s="20">
        <v>0</v>
      </c>
      <c r="M43" s="20">
        <v>586.21</v>
      </c>
      <c r="N43" s="20">
        <v>588.20000000000005</v>
      </c>
      <c r="O43" s="15">
        <v>0</v>
      </c>
      <c r="P43" s="15">
        <f>E43*0.115+5.93</f>
        <v>621.17999999999995</v>
      </c>
      <c r="Q43" s="15">
        <f>SUM(N43:P43)+G43</f>
        <v>1209.3800000000001</v>
      </c>
      <c r="R43" s="84">
        <f>K43-Q43</f>
        <v>4140.62</v>
      </c>
      <c r="S43" s="11">
        <v>256.68</v>
      </c>
      <c r="T43" s="11">
        <v>1070</v>
      </c>
      <c r="U43" s="35">
        <f t="shared" ref="U43:U44" si="17">S43+T43</f>
        <v>1326.68</v>
      </c>
    </row>
    <row r="44" spans="2:21" x14ac:dyDescent="0.25">
      <c r="B44" t="s">
        <v>152</v>
      </c>
      <c r="C44" t="s">
        <v>92</v>
      </c>
      <c r="D44" t="s">
        <v>80</v>
      </c>
      <c r="E44" s="15">
        <v>5350</v>
      </c>
      <c r="F44" s="29">
        <v>15</v>
      </c>
      <c r="G44" s="15"/>
      <c r="H44" s="15"/>
      <c r="I44" s="15"/>
      <c r="J44" s="15"/>
      <c r="K44" s="15">
        <f>E44-I44</f>
        <v>5350</v>
      </c>
      <c r="L44" s="15">
        <v>0</v>
      </c>
      <c r="M44" s="15">
        <v>588.20000000000005</v>
      </c>
      <c r="N44" s="15">
        <v>588.20000000000005</v>
      </c>
      <c r="O44" s="15">
        <v>0</v>
      </c>
      <c r="P44" s="15">
        <f>K44*0.115</f>
        <v>615.25</v>
      </c>
      <c r="Q44" s="15">
        <f>SUM(N44:P44)+G44</f>
        <v>1203.45</v>
      </c>
      <c r="R44" s="84">
        <f>K44-Q44</f>
        <v>4146.55</v>
      </c>
      <c r="S44" s="11">
        <v>256.68</v>
      </c>
      <c r="T44" s="11">
        <v>1070</v>
      </c>
      <c r="U44" s="35">
        <f t="shared" si="17"/>
        <v>1326.68</v>
      </c>
    </row>
    <row r="45" spans="2:21" x14ac:dyDescent="0.25">
      <c r="B45" s="2" t="s">
        <v>26</v>
      </c>
      <c r="C45" s="30"/>
      <c r="D45" s="30"/>
      <c r="E45" s="34">
        <f>E43+E44</f>
        <v>10700</v>
      </c>
      <c r="F45" s="34"/>
      <c r="G45" s="34">
        <f>+G44+G43</f>
        <v>0</v>
      </c>
      <c r="H45" s="34"/>
      <c r="I45" s="34">
        <f>I43+I44</f>
        <v>0</v>
      </c>
      <c r="J45" s="34">
        <f>J43+J44</f>
        <v>0</v>
      </c>
      <c r="K45" s="34">
        <f t="shared" ref="K45:U45" si="18">K43+K44</f>
        <v>10700</v>
      </c>
      <c r="L45" s="34">
        <f t="shared" si="18"/>
        <v>0</v>
      </c>
      <c r="M45" s="34">
        <f t="shared" si="18"/>
        <v>1174.4100000000001</v>
      </c>
      <c r="N45" s="34">
        <f t="shared" si="18"/>
        <v>1176.4000000000001</v>
      </c>
      <c r="O45" s="34">
        <f t="shared" si="18"/>
        <v>0</v>
      </c>
      <c r="P45" s="34">
        <f>P43+P44</f>
        <v>1236.4299999999998</v>
      </c>
      <c r="Q45" s="34">
        <f t="shared" si="18"/>
        <v>2412.83</v>
      </c>
      <c r="R45" s="34">
        <f t="shared" si="18"/>
        <v>8287.17</v>
      </c>
      <c r="S45" s="34">
        <f t="shared" si="18"/>
        <v>513.36</v>
      </c>
      <c r="T45" s="34">
        <f t="shared" si="18"/>
        <v>2140</v>
      </c>
      <c r="U45" s="34">
        <f t="shared" si="18"/>
        <v>2653.36</v>
      </c>
    </row>
    <row r="46" spans="2:21" hidden="1" x14ac:dyDescent="0.25">
      <c r="B46" s="2"/>
      <c r="E46" s="15"/>
      <c r="F46" s="15"/>
      <c r="G46" s="15"/>
      <c r="H46" s="15"/>
      <c r="I46" s="15"/>
      <c r="J46" s="15"/>
      <c r="K46" s="16"/>
      <c r="L46" s="16"/>
      <c r="M46" s="16"/>
      <c r="N46" s="16"/>
      <c r="O46" s="16"/>
      <c r="P46" s="16"/>
      <c r="Q46" s="16"/>
      <c r="R46" s="16"/>
      <c r="S46" s="8"/>
      <c r="T46" s="8"/>
      <c r="U46" s="8"/>
    </row>
    <row r="47" spans="2:21" x14ac:dyDescent="0.25">
      <c r="B47" s="2" t="s">
        <v>161</v>
      </c>
      <c r="C47" s="2" t="s">
        <v>162</v>
      </c>
      <c r="E47" s="15"/>
      <c r="F47" s="15"/>
      <c r="G47" s="15"/>
      <c r="H47" s="15"/>
      <c r="I47" s="15"/>
      <c r="J47" s="15"/>
      <c r="K47" s="16"/>
      <c r="L47" s="16"/>
      <c r="M47" s="16"/>
      <c r="N47" s="16"/>
      <c r="O47" s="16"/>
      <c r="P47" s="16"/>
      <c r="Q47" s="16"/>
      <c r="R47" s="16"/>
      <c r="S47" s="8"/>
      <c r="T47" s="8"/>
      <c r="U47" s="8"/>
    </row>
    <row r="48" spans="2:21" x14ac:dyDescent="0.25">
      <c r="B48" t="s">
        <v>163</v>
      </c>
      <c r="C48" s="11" t="s">
        <v>42</v>
      </c>
      <c r="D48" t="s">
        <v>2</v>
      </c>
      <c r="E48" s="15">
        <v>10000</v>
      </c>
      <c r="F48" s="29">
        <v>15</v>
      </c>
      <c r="G48" s="15"/>
      <c r="H48" s="15"/>
      <c r="I48" s="15"/>
      <c r="J48" s="15"/>
      <c r="K48" s="15">
        <f>E48-I48</f>
        <v>10000</v>
      </c>
      <c r="L48" s="15">
        <v>0</v>
      </c>
      <c r="M48" s="15">
        <v>1581.44</v>
      </c>
      <c r="N48" s="15">
        <f>M48-L48</f>
        <v>1581.44</v>
      </c>
      <c r="O48" s="15">
        <v>0</v>
      </c>
      <c r="P48" s="15">
        <f>E48*0.115</f>
        <v>1150</v>
      </c>
      <c r="Q48" s="15">
        <f>SUM(N48:P48)+G48</f>
        <v>2731.44</v>
      </c>
      <c r="R48" s="84">
        <f>K48-Q48</f>
        <v>7268.5599999999995</v>
      </c>
      <c r="S48" s="11">
        <v>285.52999999999997</v>
      </c>
      <c r="T48" s="11">
        <v>2000</v>
      </c>
      <c r="U48" s="35">
        <f>S48+T48</f>
        <v>2285.5299999999997</v>
      </c>
    </row>
    <row r="49" spans="2:21" x14ac:dyDescent="0.25">
      <c r="B49" s="2" t="s">
        <v>26</v>
      </c>
      <c r="E49" s="34">
        <f>E48</f>
        <v>10000</v>
      </c>
      <c r="F49" s="34"/>
      <c r="G49" s="34">
        <f>+G48</f>
        <v>0</v>
      </c>
      <c r="H49" s="34"/>
      <c r="I49" s="34">
        <f>I48</f>
        <v>0</v>
      </c>
      <c r="J49" s="34">
        <f>J48</f>
        <v>0</v>
      </c>
      <c r="K49" s="34">
        <f t="shared" ref="K49:U49" si="19">K48</f>
        <v>10000</v>
      </c>
      <c r="L49" s="34">
        <f t="shared" si="19"/>
        <v>0</v>
      </c>
      <c r="M49" s="34">
        <f t="shared" si="19"/>
        <v>1581.44</v>
      </c>
      <c r="N49" s="34">
        <f t="shared" si="19"/>
        <v>1581.44</v>
      </c>
      <c r="O49" s="34">
        <f t="shared" si="19"/>
        <v>0</v>
      </c>
      <c r="P49" s="34">
        <f>P48</f>
        <v>1150</v>
      </c>
      <c r="Q49" s="34">
        <f t="shared" si="19"/>
        <v>2731.44</v>
      </c>
      <c r="R49" s="34">
        <f t="shared" si="19"/>
        <v>7268.5599999999995</v>
      </c>
      <c r="S49" s="34">
        <f t="shared" si="19"/>
        <v>285.52999999999997</v>
      </c>
      <c r="T49" s="34">
        <f t="shared" si="19"/>
        <v>2000</v>
      </c>
      <c r="U49" s="34">
        <f t="shared" si="19"/>
        <v>2285.5299999999997</v>
      </c>
    </row>
    <row r="50" spans="2:21" ht="12" customHeight="1" x14ac:dyDescent="0.25">
      <c r="B50" s="2"/>
      <c r="E50" s="15"/>
      <c r="F50" s="15"/>
      <c r="G50" s="15"/>
      <c r="H50" s="15"/>
      <c r="I50" s="15"/>
      <c r="J50" s="15"/>
      <c r="K50" s="16"/>
      <c r="L50" s="16"/>
      <c r="M50" s="16"/>
      <c r="N50" s="16"/>
      <c r="O50" s="16"/>
      <c r="P50" s="16"/>
      <c r="Q50" s="16"/>
      <c r="R50" s="16"/>
      <c r="S50" s="8"/>
      <c r="T50" s="8"/>
      <c r="U50" s="8"/>
    </row>
    <row r="51" spans="2:21" hidden="1" x14ac:dyDescent="0.25"/>
    <row r="52" spans="2:21" ht="18.75" x14ac:dyDescent="0.3">
      <c r="C52" s="53" t="s">
        <v>105</v>
      </c>
      <c r="E52" s="17">
        <f>E9+E20+E26+E40+E45+E49</f>
        <v>158954.95000000001</v>
      </c>
      <c r="F52" s="17"/>
      <c r="G52" s="17">
        <f>G9+G20+G26+G40+G45+G49</f>
        <v>18085.62</v>
      </c>
      <c r="H52" s="17"/>
      <c r="I52" s="17">
        <f>I9+I20+I26+I40+I45+I49</f>
        <v>4.25</v>
      </c>
      <c r="J52" s="17">
        <f t="shared" ref="J52:U52" si="20">J9+J20+J26+J40+J45+J49</f>
        <v>0</v>
      </c>
      <c r="K52" s="17">
        <f>K9+K20+K26+K40+K45+K49</f>
        <v>158950.70000000001</v>
      </c>
      <c r="L52" s="17">
        <f t="shared" si="20"/>
        <v>274.08999999999997</v>
      </c>
      <c r="M52" s="17">
        <f t="shared" si="20"/>
        <v>19286.219999999998</v>
      </c>
      <c r="N52" s="17">
        <f t="shared" si="20"/>
        <v>19225.43</v>
      </c>
      <c r="O52" s="17">
        <f t="shared" si="20"/>
        <v>0</v>
      </c>
      <c r="P52" s="17">
        <f>P9+P20+P26+P40+P45+P49</f>
        <v>17585.79925</v>
      </c>
      <c r="Q52" s="17">
        <f t="shared" si="20"/>
        <v>54896.849250000007</v>
      </c>
      <c r="R52" s="54">
        <f>R9+R20+R26+R40+R45+R49</f>
        <v>104053.85075</v>
      </c>
      <c r="S52" s="17">
        <f>S9+S20+S26+S40+S45+S49</f>
        <v>7020.3799999999992</v>
      </c>
      <c r="T52" s="17">
        <f>T9+T20+T26+T40+T45+T49</f>
        <v>30720.989999999998</v>
      </c>
      <c r="U52" s="55">
        <f t="shared" si="20"/>
        <v>37741.370000000003</v>
      </c>
    </row>
    <row r="55" spans="2:21" ht="15.75" thickBot="1" x14ac:dyDescent="0.3">
      <c r="E55" s="375"/>
      <c r="F55" s="375"/>
      <c r="G55" s="92"/>
      <c r="H55" s="90"/>
      <c r="P55" s="376"/>
      <c r="Q55" s="376"/>
    </row>
    <row r="56" spans="2:21" x14ac:dyDescent="0.25">
      <c r="E56" s="377" t="s">
        <v>177</v>
      </c>
      <c r="F56" s="377"/>
      <c r="G56" s="93"/>
      <c r="H56" s="91"/>
      <c r="P56" s="26"/>
      <c r="Q56" s="26"/>
      <c r="R56" s="378" t="s">
        <v>157</v>
      </c>
      <c r="S56" s="378"/>
    </row>
    <row r="60" spans="2:21" x14ac:dyDescent="0.25">
      <c r="C60" t="s">
        <v>174</v>
      </c>
    </row>
  </sheetData>
  <mergeCells count="5">
    <mergeCell ref="B4:U4"/>
    <mergeCell ref="E55:F55"/>
    <mergeCell ref="P55:Q55"/>
    <mergeCell ref="E56:F56"/>
    <mergeCell ref="R56:S56"/>
  </mergeCells>
  <pageMargins left="0.51181102362204722" right="0.51181102362204722" top="0.15748031496062992" bottom="0.35433070866141736" header="0.31496062992125984" footer="0.31496062992125984"/>
  <pageSetup paperSize="9" scale="40" fitToHeight="0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V60"/>
  <sheetViews>
    <sheetView topLeftCell="C23" zoomScale="85" zoomScaleNormal="85" workbookViewId="0">
      <selection activeCell="R48" sqref="R48"/>
    </sheetView>
  </sheetViews>
  <sheetFormatPr baseColWidth="10" defaultRowHeight="15" x14ac:dyDescent="0.25"/>
  <cols>
    <col min="1" max="1" width="0.7109375" customWidth="1"/>
    <col min="2" max="2" width="17.140625" customWidth="1"/>
    <col min="3" max="3" width="34.140625" customWidth="1"/>
    <col min="4" max="4" width="28" customWidth="1"/>
    <col min="5" max="5" width="18.42578125" customWidth="1"/>
    <col min="6" max="6" width="12.7109375" customWidth="1"/>
    <col min="7" max="7" width="12.28515625" customWidth="1"/>
    <col min="8" max="8" width="14.140625" customWidth="1"/>
    <col min="9" max="9" width="13.85546875" customWidth="1"/>
    <col min="10" max="10" width="11.42578125" customWidth="1"/>
    <col min="11" max="11" width="13.85546875" customWidth="1"/>
    <col min="12" max="12" width="9.42578125" customWidth="1"/>
    <col min="13" max="13" width="14.42578125" customWidth="1"/>
    <col min="14" max="14" width="12.7109375" customWidth="1"/>
    <col min="15" max="15" width="11.42578125" customWidth="1"/>
    <col min="16" max="16" width="12.85546875" customWidth="1"/>
    <col min="17" max="17" width="16.5703125" customWidth="1"/>
    <col min="18" max="18" width="18.28515625" customWidth="1"/>
    <col min="19" max="19" width="16.140625" customWidth="1"/>
    <col min="20" max="20" width="14.85546875" customWidth="1"/>
    <col min="21" max="21" width="17" customWidth="1"/>
  </cols>
  <sheetData>
    <row r="3" spans="2:22" x14ac:dyDescent="0.25"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2:22" ht="16.5" customHeight="1" x14ac:dyDescent="0.25">
      <c r="B4" s="380" t="s">
        <v>192</v>
      </c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</row>
    <row r="5" spans="2:22" s="56" customFormat="1" ht="39.75" customHeight="1" thickBot="1" x14ac:dyDescent="0.3">
      <c r="B5" s="106" t="s">
        <v>9</v>
      </c>
      <c r="C5" s="104" t="s">
        <v>10</v>
      </c>
      <c r="D5" s="103" t="s">
        <v>0</v>
      </c>
      <c r="E5" s="61" t="s">
        <v>11</v>
      </c>
      <c r="F5" s="96" t="s">
        <v>150</v>
      </c>
      <c r="G5" s="43" t="s">
        <v>180</v>
      </c>
      <c r="H5" s="98" t="s">
        <v>182</v>
      </c>
      <c r="I5" s="97" t="s">
        <v>169</v>
      </c>
      <c r="J5" s="103" t="s">
        <v>170</v>
      </c>
      <c r="K5" s="103" t="s">
        <v>12</v>
      </c>
      <c r="L5" s="99" t="s">
        <v>107</v>
      </c>
      <c r="M5" s="100" t="s">
        <v>143</v>
      </c>
      <c r="N5" s="100" t="s">
        <v>13</v>
      </c>
      <c r="O5" s="101" t="s">
        <v>171</v>
      </c>
      <c r="P5" s="44" t="s">
        <v>16</v>
      </c>
      <c r="Q5" s="101" t="s">
        <v>17</v>
      </c>
      <c r="R5" s="100" t="s">
        <v>72</v>
      </c>
      <c r="S5" s="99" t="s">
        <v>8</v>
      </c>
      <c r="T5" s="98" t="s">
        <v>18</v>
      </c>
      <c r="U5" s="98" t="s">
        <v>73</v>
      </c>
      <c r="V5" s="102"/>
    </row>
    <row r="6" spans="2:22" ht="15.75" thickTop="1" x14ac:dyDescent="0.25">
      <c r="B6" s="105" t="s">
        <v>19</v>
      </c>
      <c r="C6" s="2" t="s">
        <v>20</v>
      </c>
      <c r="D6" s="107"/>
      <c r="E6" s="95"/>
      <c r="F6" s="15"/>
      <c r="G6" s="15"/>
      <c r="H6" s="15"/>
      <c r="I6" s="95"/>
      <c r="J6" s="95"/>
      <c r="K6" s="95"/>
      <c r="L6" s="15"/>
      <c r="M6" s="15"/>
      <c r="N6" s="15"/>
      <c r="O6" s="95"/>
      <c r="P6" s="15"/>
      <c r="Q6" s="95"/>
      <c r="R6" s="15"/>
    </row>
    <row r="7" spans="2:22" x14ac:dyDescent="0.25">
      <c r="B7" t="s">
        <v>21</v>
      </c>
      <c r="C7" s="11" t="s">
        <v>22</v>
      </c>
      <c r="D7" t="s">
        <v>25</v>
      </c>
      <c r="E7" s="15">
        <v>16954.95</v>
      </c>
      <c r="F7" s="29">
        <v>15</v>
      </c>
      <c r="G7" s="108">
        <v>2700</v>
      </c>
      <c r="H7" s="15"/>
      <c r="I7" s="15"/>
      <c r="J7" s="15"/>
      <c r="K7" s="15">
        <f>E7-I7</f>
        <v>16954.95</v>
      </c>
      <c r="L7" s="15">
        <v>0</v>
      </c>
      <c r="M7" s="15">
        <v>3246.93</v>
      </c>
      <c r="N7" s="15">
        <f>M7-L7</f>
        <v>3246.93</v>
      </c>
      <c r="O7" s="15">
        <v>0</v>
      </c>
      <c r="P7" s="20">
        <f>E7*0.115</f>
        <v>1949.8192500000002</v>
      </c>
      <c r="Q7" s="15">
        <f>SUM(N7:P7)+G7</f>
        <v>7896.7492499999998</v>
      </c>
      <c r="R7" s="84">
        <f>K7-Q7</f>
        <v>9058.20075</v>
      </c>
      <c r="S7" s="11">
        <v>328.67</v>
      </c>
      <c r="T7" s="11">
        <v>3390.99</v>
      </c>
      <c r="U7" s="35">
        <f>SUM(S7:T7)</f>
        <v>3719.66</v>
      </c>
    </row>
    <row r="8" spans="2:22" x14ac:dyDescent="0.25">
      <c r="B8" t="s">
        <v>23</v>
      </c>
      <c r="C8" s="11" t="s">
        <v>24</v>
      </c>
      <c r="D8" t="s">
        <v>3</v>
      </c>
      <c r="E8" s="15">
        <v>4850</v>
      </c>
      <c r="F8" s="29">
        <v>15</v>
      </c>
      <c r="G8" s="108">
        <v>809</v>
      </c>
      <c r="H8" s="15"/>
      <c r="I8" s="15"/>
      <c r="J8" s="15"/>
      <c r="K8" s="15">
        <f>E8-I8</f>
        <v>4850</v>
      </c>
      <c r="L8" s="15">
        <v>0</v>
      </c>
      <c r="M8" s="15">
        <v>491.69</v>
      </c>
      <c r="N8" s="15">
        <f>M8-L8</f>
        <v>491.69</v>
      </c>
      <c r="O8" s="15">
        <v>0</v>
      </c>
      <c r="P8" s="20">
        <f>E8*0.115</f>
        <v>557.75</v>
      </c>
      <c r="Q8" s="15">
        <f>SUM(N8:P8)+G8</f>
        <v>1858.44</v>
      </c>
      <c r="R8" s="84">
        <f>K8-Q8</f>
        <v>2991.56</v>
      </c>
      <c r="S8" s="11">
        <v>253.58</v>
      </c>
      <c r="T8" s="11">
        <v>970</v>
      </c>
      <c r="U8" s="35">
        <f t="shared" ref="U8" si="0">SUM(S8:T8)</f>
        <v>1223.58</v>
      </c>
    </row>
    <row r="9" spans="2:22" x14ac:dyDescent="0.25">
      <c r="B9" s="7" t="s">
        <v>26</v>
      </c>
      <c r="C9" s="30"/>
      <c r="D9" s="30"/>
      <c r="E9" s="34">
        <f>SUM(E7:E8)</f>
        <v>21804.95</v>
      </c>
      <c r="F9" s="34"/>
      <c r="G9" s="34">
        <f>+G8+G7</f>
        <v>3509</v>
      </c>
      <c r="H9" s="34"/>
      <c r="I9" s="34">
        <f t="shared" ref="I9:U9" si="1">SUM(I7:I8)</f>
        <v>0</v>
      </c>
      <c r="J9" s="34">
        <f t="shared" si="1"/>
        <v>0</v>
      </c>
      <c r="K9" s="34">
        <f t="shared" si="1"/>
        <v>21804.95</v>
      </c>
      <c r="L9" s="34">
        <f t="shared" si="1"/>
        <v>0</v>
      </c>
      <c r="M9" s="34">
        <f t="shared" si="1"/>
        <v>3738.62</v>
      </c>
      <c r="N9" s="34">
        <f t="shared" si="1"/>
        <v>3738.62</v>
      </c>
      <c r="O9" s="34">
        <f t="shared" si="1"/>
        <v>0</v>
      </c>
      <c r="P9" s="34">
        <f>SUM(P7:P8)</f>
        <v>2507.5692500000005</v>
      </c>
      <c r="Q9" s="34">
        <f t="shared" si="1"/>
        <v>9755.1892499999994</v>
      </c>
      <c r="R9" s="34">
        <f t="shared" si="1"/>
        <v>12049.760749999999</v>
      </c>
      <c r="S9" s="34">
        <f t="shared" si="1"/>
        <v>582.25</v>
      </c>
      <c r="T9" s="34">
        <f t="shared" si="1"/>
        <v>4360.99</v>
      </c>
      <c r="U9" s="34">
        <f t="shared" si="1"/>
        <v>4943.24</v>
      </c>
    </row>
    <row r="10" spans="2:22" ht="10.5" hidden="1" customHeight="1" x14ac:dyDescent="0.25"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2:22" x14ac:dyDescent="0.25">
      <c r="B11" s="2" t="s">
        <v>27</v>
      </c>
      <c r="C11" s="2" t="s">
        <v>28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2:22" x14ac:dyDescent="0.25">
      <c r="B12" t="s">
        <v>32</v>
      </c>
      <c r="C12" s="11" t="s">
        <v>37</v>
      </c>
      <c r="D12" t="s">
        <v>1</v>
      </c>
      <c r="E12" s="15">
        <v>10000</v>
      </c>
      <c r="F12" s="29">
        <v>15</v>
      </c>
      <c r="G12" s="108">
        <v>3334</v>
      </c>
      <c r="H12" s="15"/>
      <c r="I12" s="15"/>
      <c r="J12" s="15"/>
      <c r="K12" s="15">
        <f t="shared" ref="K12:K19" si="2">E12-I12</f>
        <v>10000</v>
      </c>
      <c r="L12" s="15">
        <v>0</v>
      </c>
      <c r="M12" s="15">
        <v>1581.44</v>
      </c>
      <c r="N12" s="15">
        <f>M12-L12</f>
        <v>1581.44</v>
      </c>
      <c r="O12" s="15">
        <v>0</v>
      </c>
      <c r="P12" s="15">
        <f t="shared" ref="P12:P19" si="3">E12*0.115</f>
        <v>1150</v>
      </c>
      <c r="Q12" s="15">
        <f>SUM(N12:P12)+G12</f>
        <v>6065.4400000000005</v>
      </c>
      <c r="R12" s="84">
        <f t="shared" ref="R12:R19" si="4">K12-Q12</f>
        <v>3934.5599999999995</v>
      </c>
      <c r="S12" s="11">
        <v>285.52999999999997</v>
      </c>
      <c r="T12" s="11">
        <v>2000</v>
      </c>
      <c r="U12" s="35">
        <f>S12+T12</f>
        <v>2285.5299999999997</v>
      </c>
    </row>
    <row r="13" spans="2:22" x14ac:dyDescent="0.25">
      <c r="B13" t="s">
        <v>33</v>
      </c>
      <c r="C13" s="11" t="s">
        <v>38</v>
      </c>
      <c r="D13" t="s">
        <v>74</v>
      </c>
      <c r="E13" s="15">
        <v>5350</v>
      </c>
      <c r="F13" s="29">
        <v>15</v>
      </c>
      <c r="G13" s="15"/>
      <c r="H13" s="15"/>
      <c r="I13" s="77"/>
      <c r="J13" s="19"/>
      <c r="K13" s="15">
        <f>E13-I13</f>
        <v>5350</v>
      </c>
      <c r="L13" s="15">
        <v>0</v>
      </c>
      <c r="M13" s="15">
        <v>586.75</v>
      </c>
      <c r="N13" s="15">
        <v>588.20000000000005</v>
      </c>
      <c r="O13" s="15">
        <v>0</v>
      </c>
      <c r="P13" s="15">
        <f t="shared" si="3"/>
        <v>615.25</v>
      </c>
      <c r="Q13" s="15">
        <f t="shared" ref="Q13:Q19" si="5">SUM(N13:P13)+G13</f>
        <v>1203.45</v>
      </c>
      <c r="R13" s="84">
        <f t="shared" si="4"/>
        <v>4146.55</v>
      </c>
      <c r="S13" s="11">
        <v>256.68</v>
      </c>
      <c r="T13" s="11">
        <v>1070</v>
      </c>
      <c r="U13" s="35">
        <f>S13+T13</f>
        <v>1326.68</v>
      </c>
    </row>
    <row r="14" spans="2:22" x14ac:dyDescent="0.25">
      <c r="B14" t="s">
        <v>34</v>
      </c>
      <c r="C14" s="11" t="s">
        <v>178</v>
      </c>
      <c r="D14" t="s">
        <v>179</v>
      </c>
      <c r="E14" s="15">
        <v>5350</v>
      </c>
      <c r="F14" s="29">
        <v>15</v>
      </c>
      <c r="G14" s="15"/>
      <c r="H14" s="20"/>
      <c r="I14" s="19"/>
      <c r="J14" s="19"/>
      <c r="K14" s="15">
        <f>+E14+H14</f>
        <v>5350</v>
      </c>
      <c r="L14" s="15">
        <v>0</v>
      </c>
      <c r="M14" s="15">
        <v>586.75</v>
      </c>
      <c r="N14" s="15">
        <v>588.20000000000005</v>
      </c>
      <c r="O14" s="15">
        <v>0</v>
      </c>
      <c r="P14" s="15"/>
      <c r="Q14" s="15">
        <f>SUM(N14:P14)+G14</f>
        <v>588.20000000000005</v>
      </c>
      <c r="R14" s="84">
        <f>K14-Q14</f>
        <v>4761.8</v>
      </c>
      <c r="S14" s="11">
        <v>256.68</v>
      </c>
      <c r="T14" s="11">
        <v>0</v>
      </c>
      <c r="U14" s="35">
        <f>S14+T14</f>
        <v>256.68</v>
      </c>
    </row>
    <row r="15" spans="2:22" x14ac:dyDescent="0.25">
      <c r="B15" t="s">
        <v>35</v>
      </c>
      <c r="C15" t="s">
        <v>111</v>
      </c>
      <c r="D15" t="s">
        <v>77</v>
      </c>
      <c r="E15" s="15">
        <v>6000</v>
      </c>
      <c r="F15" s="29">
        <v>15</v>
      </c>
      <c r="G15" s="15"/>
      <c r="H15" s="15"/>
      <c r="I15" s="15"/>
      <c r="J15" s="15"/>
      <c r="K15" s="15">
        <f t="shared" si="2"/>
        <v>6000</v>
      </c>
      <c r="L15" s="15">
        <v>0</v>
      </c>
      <c r="M15" s="15">
        <v>727.04</v>
      </c>
      <c r="N15" s="15">
        <f t="shared" ref="N15:N19" si="6">M15-L15</f>
        <v>727.04</v>
      </c>
      <c r="O15" s="15">
        <v>0</v>
      </c>
      <c r="P15" s="15">
        <f>E15*0.115+0.97</f>
        <v>690.97</v>
      </c>
      <c r="Q15" s="15">
        <f t="shared" si="5"/>
        <v>1418.01</v>
      </c>
      <c r="R15" s="84">
        <f t="shared" si="4"/>
        <v>4581.99</v>
      </c>
      <c r="S15" s="11">
        <v>260.72000000000003</v>
      </c>
      <c r="T15" s="11">
        <v>1200</v>
      </c>
      <c r="U15" s="35">
        <f>S15+T15</f>
        <v>1460.72</v>
      </c>
    </row>
    <row r="16" spans="2:22" x14ac:dyDescent="0.25">
      <c r="B16" t="s">
        <v>36</v>
      </c>
      <c r="C16" t="s">
        <v>86</v>
      </c>
      <c r="D16" t="s">
        <v>39</v>
      </c>
      <c r="E16" s="15">
        <v>4500</v>
      </c>
      <c r="F16" s="29">
        <v>15</v>
      </c>
      <c r="G16" s="108">
        <v>750</v>
      </c>
      <c r="H16" s="15"/>
      <c r="I16" s="15"/>
      <c r="J16" s="15"/>
      <c r="K16" s="15">
        <f t="shared" si="2"/>
        <v>4500</v>
      </c>
      <c r="L16" s="15">
        <v>0</v>
      </c>
      <c r="M16" s="15">
        <v>428.97</v>
      </c>
      <c r="N16" s="15">
        <f t="shared" si="6"/>
        <v>428.97</v>
      </c>
      <c r="O16" s="15">
        <v>0</v>
      </c>
      <c r="P16" s="15">
        <f t="shared" si="3"/>
        <v>517.5</v>
      </c>
      <c r="Q16" s="15">
        <f t="shared" si="5"/>
        <v>1696.47</v>
      </c>
      <c r="R16" s="84">
        <f t="shared" si="4"/>
        <v>2803.5299999999997</v>
      </c>
      <c r="S16" s="11">
        <v>251.41</v>
      </c>
      <c r="T16" s="11">
        <v>900</v>
      </c>
      <c r="U16" s="35">
        <f>S16+T16</f>
        <v>1151.4100000000001</v>
      </c>
    </row>
    <row r="17" spans="2:21" x14ac:dyDescent="0.25">
      <c r="B17" t="s">
        <v>115</v>
      </c>
      <c r="C17" t="s">
        <v>87</v>
      </c>
      <c r="D17" t="s">
        <v>39</v>
      </c>
      <c r="E17" s="15">
        <v>4500</v>
      </c>
      <c r="F17" s="29">
        <v>15</v>
      </c>
      <c r="G17" s="108">
        <v>610</v>
      </c>
      <c r="H17" s="15"/>
      <c r="I17" s="15"/>
      <c r="J17" s="15"/>
      <c r="K17" s="15">
        <f t="shared" si="2"/>
        <v>4500</v>
      </c>
      <c r="L17" s="15">
        <v>0</v>
      </c>
      <c r="M17" s="15">
        <v>428.97</v>
      </c>
      <c r="N17" s="15">
        <v>428.97</v>
      </c>
      <c r="O17" s="15">
        <v>0</v>
      </c>
      <c r="P17" s="15">
        <f t="shared" si="3"/>
        <v>517.5</v>
      </c>
      <c r="Q17" s="15">
        <f t="shared" si="5"/>
        <v>1556.47</v>
      </c>
      <c r="R17" s="84">
        <f t="shared" si="4"/>
        <v>2943.5299999999997</v>
      </c>
      <c r="S17" s="11">
        <v>251.41</v>
      </c>
      <c r="T17" s="11">
        <v>900</v>
      </c>
      <c r="U17" s="35">
        <f t="shared" ref="U17:U19" si="7">S17+T17</f>
        <v>1151.4100000000001</v>
      </c>
    </row>
    <row r="18" spans="2:21" x14ac:dyDescent="0.25">
      <c r="B18" t="s">
        <v>116</v>
      </c>
      <c r="C18" t="s">
        <v>89</v>
      </c>
      <c r="D18" t="s">
        <v>4</v>
      </c>
      <c r="E18" s="15">
        <v>2700</v>
      </c>
      <c r="F18" s="29">
        <v>15</v>
      </c>
      <c r="G18" s="108">
        <v>450</v>
      </c>
      <c r="H18" s="15"/>
      <c r="I18" s="15"/>
      <c r="J18" s="15"/>
      <c r="K18" s="15">
        <f t="shared" si="2"/>
        <v>2700</v>
      </c>
      <c r="L18" s="15">
        <v>147.32</v>
      </c>
      <c r="M18" s="15">
        <v>188.33</v>
      </c>
      <c r="N18" s="15">
        <f t="shared" si="6"/>
        <v>41.010000000000019</v>
      </c>
      <c r="O18" s="15">
        <v>0</v>
      </c>
      <c r="P18" s="20">
        <f t="shared" si="3"/>
        <v>310.5</v>
      </c>
      <c r="Q18" s="15">
        <f t="shared" si="5"/>
        <v>801.51</v>
      </c>
      <c r="R18" s="84">
        <f t="shared" si="4"/>
        <v>1898.49</v>
      </c>
      <c r="S18" s="11">
        <v>240.25</v>
      </c>
      <c r="T18" s="11">
        <v>540</v>
      </c>
      <c r="U18" s="35">
        <f t="shared" si="7"/>
        <v>780.25</v>
      </c>
    </row>
    <row r="19" spans="2:21" x14ac:dyDescent="0.25">
      <c r="B19" t="s">
        <v>117</v>
      </c>
      <c r="C19" t="s">
        <v>88</v>
      </c>
      <c r="D19" t="s">
        <v>40</v>
      </c>
      <c r="E19" s="15">
        <v>3150</v>
      </c>
      <c r="F19" s="29">
        <v>15</v>
      </c>
      <c r="G19" s="108">
        <v>525</v>
      </c>
      <c r="H19" s="15"/>
      <c r="I19" s="15"/>
      <c r="J19" s="15"/>
      <c r="K19" s="15">
        <f t="shared" si="2"/>
        <v>3150</v>
      </c>
      <c r="L19" s="15">
        <v>126.77</v>
      </c>
      <c r="M19" s="15">
        <v>237.29</v>
      </c>
      <c r="N19" s="15">
        <f t="shared" si="6"/>
        <v>110.52</v>
      </c>
      <c r="O19" s="15">
        <v>0</v>
      </c>
      <c r="P19" s="20">
        <f t="shared" si="3"/>
        <v>362.25</v>
      </c>
      <c r="Q19" s="15">
        <f t="shared" si="5"/>
        <v>997.77</v>
      </c>
      <c r="R19" s="84">
        <f t="shared" si="4"/>
        <v>2152.23</v>
      </c>
      <c r="S19" s="11">
        <v>243.04</v>
      </c>
      <c r="T19" s="11">
        <v>630</v>
      </c>
      <c r="U19" s="35">
        <f t="shared" si="7"/>
        <v>873.04</v>
      </c>
    </row>
    <row r="20" spans="2:21" x14ac:dyDescent="0.25">
      <c r="B20" s="2" t="s">
        <v>26</v>
      </c>
      <c r="C20" s="30"/>
      <c r="D20" s="30"/>
      <c r="E20" s="34">
        <f>SUM(E12:E19)</f>
        <v>41550</v>
      </c>
      <c r="F20" s="34"/>
      <c r="G20" s="34">
        <f>+G19+G18+G17+G16+G12</f>
        <v>5669</v>
      </c>
      <c r="H20" s="34"/>
      <c r="I20" s="34">
        <f t="shared" ref="I20:U20" si="8">SUM(I12:I19)</f>
        <v>0</v>
      </c>
      <c r="J20" s="34">
        <f t="shared" si="8"/>
        <v>0</v>
      </c>
      <c r="K20" s="34">
        <f t="shared" si="8"/>
        <v>41550</v>
      </c>
      <c r="L20" s="34">
        <f t="shared" si="8"/>
        <v>274.08999999999997</v>
      </c>
      <c r="M20" s="34">
        <f t="shared" si="8"/>
        <v>4765.54</v>
      </c>
      <c r="N20" s="34">
        <f t="shared" si="8"/>
        <v>4494.3500000000013</v>
      </c>
      <c r="O20" s="34">
        <f t="shared" si="8"/>
        <v>0</v>
      </c>
      <c r="P20" s="34">
        <f>SUM(P12:P19)</f>
        <v>4163.97</v>
      </c>
      <c r="Q20" s="34">
        <f t="shared" si="8"/>
        <v>14327.32</v>
      </c>
      <c r="R20" s="34">
        <f t="shared" si="8"/>
        <v>27222.68</v>
      </c>
      <c r="S20" s="34">
        <f t="shared" si="8"/>
        <v>2045.7200000000003</v>
      </c>
      <c r="T20" s="34">
        <f t="shared" si="8"/>
        <v>7240</v>
      </c>
      <c r="U20" s="34">
        <f t="shared" si="8"/>
        <v>9285.7200000000012</v>
      </c>
    </row>
    <row r="21" spans="2:21" hidden="1" x14ac:dyDescent="0.25">
      <c r="B21" s="2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2:21" x14ac:dyDescent="0.25">
      <c r="B22" s="2" t="s">
        <v>50</v>
      </c>
      <c r="C22" s="2" t="s">
        <v>160</v>
      </c>
      <c r="E22" s="15"/>
      <c r="F22" s="15"/>
      <c r="G22" s="15"/>
      <c r="H22" s="15"/>
      <c r="I22" s="15"/>
      <c r="J22" s="15"/>
      <c r="K22" s="15"/>
      <c r="L22" s="94"/>
      <c r="M22" s="15"/>
      <c r="N22" s="15"/>
      <c r="O22" s="15"/>
      <c r="P22" s="15"/>
      <c r="Q22" s="15"/>
      <c r="R22" s="15"/>
    </row>
    <row r="23" spans="2:21" x14ac:dyDescent="0.25">
      <c r="B23" t="s">
        <v>119</v>
      </c>
      <c r="C23" t="s">
        <v>91</v>
      </c>
      <c r="D23" t="s">
        <v>76</v>
      </c>
      <c r="E23" s="15">
        <v>5350</v>
      </c>
      <c r="F23" s="29">
        <v>13</v>
      </c>
      <c r="G23" s="108">
        <v>892</v>
      </c>
      <c r="H23" s="15"/>
      <c r="I23" s="71">
        <v>718.44</v>
      </c>
      <c r="J23" s="15"/>
      <c r="K23" s="15">
        <f>E23-I23</f>
        <v>4631.5599999999995</v>
      </c>
      <c r="L23" s="15">
        <v>0</v>
      </c>
      <c r="M23" s="15">
        <v>453.47</v>
      </c>
      <c r="N23" s="15">
        <v>588.20000000000005</v>
      </c>
      <c r="O23" s="15">
        <v>0</v>
      </c>
      <c r="P23" s="20">
        <f>E23*0.115</f>
        <v>615.25</v>
      </c>
      <c r="Q23" s="15">
        <f>SUM(N23:P23)+G23</f>
        <v>2095.4499999999998</v>
      </c>
      <c r="R23" s="84">
        <f>K23-Q23</f>
        <v>2536.1099999999997</v>
      </c>
      <c r="S23" s="11">
        <v>256.68</v>
      </c>
      <c r="T23" s="11">
        <v>1070</v>
      </c>
      <c r="U23" s="35">
        <f>S23+T23</f>
        <v>1326.68</v>
      </c>
    </row>
    <row r="24" spans="2:21" x14ac:dyDescent="0.25">
      <c r="B24" t="s">
        <v>120</v>
      </c>
      <c r="C24" t="s">
        <v>93</v>
      </c>
      <c r="D24" t="s">
        <v>78</v>
      </c>
      <c r="E24" s="15">
        <v>5350</v>
      </c>
      <c r="F24" s="29">
        <v>15</v>
      </c>
      <c r="G24" s="108">
        <v>1115</v>
      </c>
      <c r="H24" s="15"/>
      <c r="I24" s="71"/>
      <c r="J24" s="15"/>
      <c r="K24" s="15">
        <f>E24-I24</f>
        <v>5350</v>
      </c>
      <c r="L24" s="15">
        <v>0</v>
      </c>
      <c r="M24" s="15">
        <v>588.20000000000005</v>
      </c>
      <c r="N24" s="15">
        <f>M24-L24</f>
        <v>588.20000000000005</v>
      </c>
      <c r="O24" s="15">
        <v>0</v>
      </c>
      <c r="P24" s="20">
        <f>E24*0.115</f>
        <v>615.25</v>
      </c>
      <c r="Q24" s="15">
        <f>SUM(N24:P24)+G24</f>
        <v>2318.4499999999998</v>
      </c>
      <c r="R24" s="84">
        <f>K24-Q24</f>
        <v>3031.55</v>
      </c>
      <c r="S24" s="11">
        <v>256.68</v>
      </c>
      <c r="T24" s="11">
        <v>1070</v>
      </c>
      <c r="U24" s="35">
        <f>S24+T24</f>
        <v>1326.68</v>
      </c>
    </row>
    <row r="25" spans="2:21" x14ac:dyDescent="0.25">
      <c r="B25" t="s">
        <v>121</v>
      </c>
      <c r="C25" t="s">
        <v>114</v>
      </c>
      <c r="D25" t="s">
        <v>186</v>
      </c>
      <c r="E25" s="15">
        <v>5350</v>
      </c>
      <c r="F25" s="29">
        <v>15</v>
      </c>
      <c r="G25" s="15"/>
      <c r="H25" s="15"/>
      <c r="I25" s="71"/>
      <c r="J25" s="15"/>
      <c r="K25" s="15">
        <f>E25-I25</f>
        <v>5350</v>
      </c>
      <c r="L25" s="15">
        <v>0</v>
      </c>
      <c r="M25" s="15">
        <v>588.20000000000005</v>
      </c>
      <c r="N25" s="15">
        <f>M25-L25</f>
        <v>588.20000000000005</v>
      </c>
      <c r="O25" s="15">
        <v>0</v>
      </c>
      <c r="P25" s="20">
        <f>E25*0.115</f>
        <v>615.25</v>
      </c>
      <c r="Q25" s="15">
        <f>SUM(N25:P25)+G25</f>
        <v>1203.45</v>
      </c>
      <c r="R25" s="84">
        <f>K25-Q25</f>
        <v>4146.55</v>
      </c>
      <c r="S25" s="11">
        <v>256.68</v>
      </c>
      <c r="T25" s="11">
        <v>1070</v>
      </c>
      <c r="U25" s="35">
        <f>S25+T25</f>
        <v>1326.68</v>
      </c>
    </row>
    <row r="26" spans="2:21" x14ac:dyDescent="0.25">
      <c r="B26" s="2" t="s">
        <v>26</v>
      </c>
      <c r="C26" s="30"/>
      <c r="D26" s="30"/>
      <c r="E26" s="34">
        <f>SUM(E23:E25)</f>
        <v>16050</v>
      </c>
      <c r="F26" s="34"/>
      <c r="G26" s="34">
        <f>+G25+G24+G23</f>
        <v>2007</v>
      </c>
      <c r="H26" s="34"/>
      <c r="I26" s="34">
        <f>SUM(I23:I25)</f>
        <v>718.44</v>
      </c>
      <c r="J26" s="34">
        <f>SUM(J23:J25)</f>
        <v>0</v>
      </c>
      <c r="K26" s="34">
        <f t="shared" ref="K26:U26" si="9">SUM(K23:K25)</f>
        <v>15331.56</v>
      </c>
      <c r="L26" s="34">
        <f t="shared" si="9"/>
        <v>0</v>
      </c>
      <c r="M26" s="34">
        <f t="shared" si="9"/>
        <v>1629.8700000000001</v>
      </c>
      <c r="N26" s="34">
        <f t="shared" si="9"/>
        <v>1764.6000000000001</v>
      </c>
      <c r="O26" s="34">
        <f t="shared" si="9"/>
        <v>0</v>
      </c>
      <c r="P26" s="34">
        <f>SUM(P23:P25)</f>
        <v>1845.75</v>
      </c>
      <c r="Q26" s="34">
        <f t="shared" si="9"/>
        <v>5617.3499999999995</v>
      </c>
      <c r="R26" s="34">
        <f t="shared" si="9"/>
        <v>9714.2099999999991</v>
      </c>
      <c r="S26" s="34">
        <f t="shared" si="9"/>
        <v>770.04</v>
      </c>
      <c r="T26" s="34">
        <f t="shared" si="9"/>
        <v>3210</v>
      </c>
      <c r="U26" s="34">
        <f t="shared" si="9"/>
        <v>3980.04</v>
      </c>
    </row>
    <row r="27" spans="2:21" hidden="1" x14ac:dyDescent="0.25"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2:21" x14ac:dyDescent="0.25">
      <c r="B28" s="2" t="s">
        <v>63</v>
      </c>
      <c r="C28" s="2" t="s">
        <v>51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2:21" x14ac:dyDescent="0.25">
      <c r="B29" t="s">
        <v>122</v>
      </c>
      <c r="C29" t="s">
        <v>97</v>
      </c>
      <c r="D29" t="s">
        <v>80</v>
      </c>
      <c r="E29" s="15">
        <v>5350</v>
      </c>
      <c r="F29" s="29">
        <v>15</v>
      </c>
      <c r="G29" s="15"/>
      <c r="H29" s="15"/>
      <c r="I29" s="71"/>
      <c r="J29" s="15"/>
      <c r="K29" s="15">
        <f t="shared" ref="K29:K39" si="10">E29-I29</f>
        <v>5350</v>
      </c>
      <c r="L29" s="15">
        <v>0</v>
      </c>
      <c r="M29" s="15">
        <v>588.20000000000005</v>
      </c>
      <c r="N29" s="15">
        <f>M29-L29</f>
        <v>588.20000000000005</v>
      </c>
      <c r="O29" s="15">
        <v>0</v>
      </c>
      <c r="P29" s="20">
        <f>E29*0.115</f>
        <v>615.25</v>
      </c>
      <c r="Q29" s="15">
        <f t="shared" ref="Q29:Q39" si="11">SUM(N29:P29)+G29</f>
        <v>1203.45</v>
      </c>
      <c r="R29" s="84">
        <f t="shared" ref="R29:R39" si="12">K29-Q29</f>
        <v>4146.55</v>
      </c>
      <c r="S29" s="11">
        <v>256.68</v>
      </c>
      <c r="T29" s="11">
        <v>1070</v>
      </c>
      <c r="U29" s="35">
        <f t="shared" ref="U29:U39" si="13">S29+T29</f>
        <v>1326.68</v>
      </c>
    </row>
    <row r="30" spans="2:21" x14ac:dyDescent="0.25">
      <c r="B30" t="s">
        <v>123</v>
      </c>
      <c r="C30" t="s">
        <v>100</v>
      </c>
      <c r="D30" t="s">
        <v>80</v>
      </c>
      <c r="E30" s="15">
        <v>5350</v>
      </c>
      <c r="F30" s="29">
        <v>15</v>
      </c>
      <c r="G30" s="15"/>
      <c r="H30" s="15"/>
      <c r="I30" s="77"/>
      <c r="J30" s="20"/>
      <c r="K30" s="20">
        <f t="shared" si="10"/>
        <v>5350</v>
      </c>
      <c r="L30" s="20">
        <v>0</v>
      </c>
      <c r="M30" s="20">
        <v>587.48</v>
      </c>
      <c r="N30" s="20">
        <v>588.20000000000005</v>
      </c>
      <c r="O30" s="15">
        <v>0</v>
      </c>
      <c r="P30" s="20">
        <f t="shared" ref="P30:P39" si="14">E30*0.115</f>
        <v>615.25</v>
      </c>
      <c r="Q30" s="15">
        <f t="shared" si="11"/>
        <v>1203.45</v>
      </c>
      <c r="R30" s="84">
        <f t="shared" si="12"/>
        <v>4146.55</v>
      </c>
      <c r="S30" s="11">
        <v>256.68</v>
      </c>
      <c r="T30" s="11">
        <v>1070</v>
      </c>
      <c r="U30" s="35">
        <f t="shared" si="13"/>
        <v>1326.68</v>
      </c>
    </row>
    <row r="31" spans="2:21" x14ac:dyDescent="0.25">
      <c r="B31" t="s">
        <v>124</v>
      </c>
      <c r="C31" t="s">
        <v>96</v>
      </c>
      <c r="D31" t="s">
        <v>78</v>
      </c>
      <c r="E31" s="15">
        <v>5350</v>
      </c>
      <c r="F31" s="29">
        <v>15</v>
      </c>
      <c r="G31" s="15"/>
      <c r="H31" s="15"/>
      <c r="I31" s="20"/>
      <c r="J31" s="20"/>
      <c r="K31" s="20">
        <f t="shared" si="10"/>
        <v>5350</v>
      </c>
      <c r="L31" s="20">
        <v>0</v>
      </c>
      <c r="M31" s="20">
        <v>588.20000000000005</v>
      </c>
      <c r="N31" s="20">
        <f t="shared" ref="N31:N39" si="15">M31-L31</f>
        <v>588.20000000000005</v>
      </c>
      <c r="O31" s="15">
        <v>0</v>
      </c>
      <c r="P31" s="20">
        <f t="shared" si="14"/>
        <v>615.25</v>
      </c>
      <c r="Q31" s="15">
        <f t="shared" si="11"/>
        <v>1203.45</v>
      </c>
      <c r="R31" s="84">
        <f t="shared" si="12"/>
        <v>4146.55</v>
      </c>
      <c r="S31" s="11">
        <v>256.68</v>
      </c>
      <c r="T31" s="11">
        <v>1070</v>
      </c>
      <c r="U31" s="35">
        <f t="shared" si="13"/>
        <v>1326.68</v>
      </c>
    </row>
    <row r="32" spans="2:21" x14ac:dyDescent="0.25">
      <c r="B32" t="s">
        <v>125</v>
      </c>
      <c r="C32" t="s">
        <v>104</v>
      </c>
      <c r="D32" t="s">
        <v>78</v>
      </c>
      <c r="E32" s="15">
        <v>5350</v>
      </c>
      <c r="F32" s="29">
        <v>15</v>
      </c>
      <c r="G32" s="15"/>
      <c r="H32" s="15"/>
      <c r="I32" s="77"/>
      <c r="J32" s="20"/>
      <c r="K32" s="20">
        <f t="shared" si="10"/>
        <v>5350</v>
      </c>
      <c r="L32" s="20">
        <v>0</v>
      </c>
      <c r="M32" s="20">
        <v>588.20000000000005</v>
      </c>
      <c r="N32" s="20">
        <f t="shared" si="15"/>
        <v>588.20000000000005</v>
      </c>
      <c r="O32" s="15">
        <v>0</v>
      </c>
      <c r="P32" s="20">
        <f t="shared" si="14"/>
        <v>615.25</v>
      </c>
      <c r="Q32" s="15">
        <f t="shared" si="11"/>
        <v>1203.45</v>
      </c>
      <c r="R32" s="84">
        <f t="shared" si="12"/>
        <v>4146.55</v>
      </c>
      <c r="S32" s="11">
        <v>256.68</v>
      </c>
      <c r="T32" s="11">
        <v>1070</v>
      </c>
      <c r="U32" s="35">
        <f t="shared" si="13"/>
        <v>1326.68</v>
      </c>
    </row>
    <row r="33" spans="2:21" x14ac:dyDescent="0.25">
      <c r="B33" t="s">
        <v>126</v>
      </c>
      <c r="C33" t="s">
        <v>94</v>
      </c>
      <c r="D33" t="s">
        <v>81</v>
      </c>
      <c r="E33" s="15">
        <v>5350</v>
      </c>
      <c r="F33" s="29">
        <v>15</v>
      </c>
      <c r="G33" s="108">
        <v>595</v>
      </c>
      <c r="H33" s="15"/>
      <c r="I33" s="77"/>
      <c r="J33" s="20"/>
      <c r="K33" s="20">
        <f>E33-I33</f>
        <v>5350</v>
      </c>
      <c r="L33" s="20">
        <v>0</v>
      </c>
      <c r="M33" s="20">
        <v>517.23</v>
      </c>
      <c r="N33" s="20">
        <v>588.02</v>
      </c>
      <c r="O33" s="15">
        <v>0</v>
      </c>
      <c r="P33" s="20">
        <f t="shared" si="14"/>
        <v>615.25</v>
      </c>
      <c r="Q33" s="15">
        <f t="shared" si="11"/>
        <v>1798.27</v>
      </c>
      <c r="R33" s="84">
        <f>K33-Q33</f>
        <v>3551.73</v>
      </c>
      <c r="S33" s="11">
        <v>256.68</v>
      </c>
      <c r="T33" s="11">
        <v>1070</v>
      </c>
      <c r="U33" s="35">
        <f t="shared" si="13"/>
        <v>1326.68</v>
      </c>
    </row>
    <row r="34" spans="2:21" x14ac:dyDescent="0.25">
      <c r="B34" t="s">
        <v>127</v>
      </c>
      <c r="C34" t="s">
        <v>98</v>
      </c>
      <c r="D34" t="s">
        <v>81</v>
      </c>
      <c r="E34" s="15">
        <v>5350</v>
      </c>
      <c r="F34" s="29">
        <v>15</v>
      </c>
      <c r="G34" s="15"/>
      <c r="H34" s="20"/>
      <c r="I34" s="77"/>
      <c r="J34" s="20"/>
      <c r="K34" s="20">
        <f>E34-I34</f>
        <v>5350</v>
      </c>
      <c r="L34" s="20">
        <v>0</v>
      </c>
      <c r="M34" s="20">
        <v>588.20000000000005</v>
      </c>
      <c r="N34" s="20">
        <f t="shared" si="15"/>
        <v>588.20000000000005</v>
      </c>
      <c r="O34" s="15">
        <v>0</v>
      </c>
      <c r="P34" s="20">
        <f>E34*0.115</f>
        <v>615.25</v>
      </c>
      <c r="Q34" s="15">
        <f>SUM(N34:P34)+G34</f>
        <v>1203.45</v>
      </c>
      <c r="R34" s="84">
        <f>K34-Q34</f>
        <v>4146.55</v>
      </c>
      <c r="S34" s="11">
        <v>256.68</v>
      </c>
      <c r="T34" s="11">
        <v>1070</v>
      </c>
      <c r="U34" s="35">
        <f t="shared" si="13"/>
        <v>1326.68</v>
      </c>
    </row>
    <row r="35" spans="2:21" x14ac:dyDescent="0.25">
      <c r="B35" t="s">
        <v>128</v>
      </c>
      <c r="C35" t="s">
        <v>101</v>
      </c>
      <c r="D35" t="s">
        <v>81</v>
      </c>
      <c r="E35" s="15">
        <v>5350</v>
      </c>
      <c r="F35" s="29">
        <v>15</v>
      </c>
      <c r="G35" s="15"/>
      <c r="H35" s="15"/>
      <c r="I35" s="71"/>
      <c r="J35" s="20"/>
      <c r="K35" s="20">
        <f>E35-I35</f>
        <v>5350</v>
      </c>
      <c r="L35" s="20">
        <v>0</v>
      </c>
      <c r="M35" s="15">
        <v>588.20000000000005</v>
      </c>
      <c r="N35" s="15">
        <f>M35-L35</f>
        <v>588.20000000000005</v>
      </c>
      <c r="O35" s="15">
        <v>0</v>
      </c>
      <c r="P35" s="20">
        <f t="shared" si="14"/>
        <v>615.25</v>
      </c>
      <c r="Q35" s="15">
        <f>SUM(N35:P35)+G35</f>
        <v>1203.45</v>
      </c>
      <c r="R35" s="84">
        <f>K35-Q35</f>
        <v>4146.55</v>
      </c>
      <c r="S35" s="11">
        <v>256.68</v>
      </c>
      <c r="T35" s="11">
        <v>1070</v>
      </c>
      <c r="U35" s="35">
        <f t="shared" si="13"/>
        <v>1326.68</v>
      </c>
    </row>
    <row r="36" spans="2:21" x14ac:dyDescent="0.25">
      <c r="B36" t="s">
        <v>129</v>
      </c>
      <c r="C36" t="s">
        <v>95</v>
      </c>
      <c r="D36" t="s">
        <v>82</v>
      </c>
      <c r="E36" s="15">
        <v>5350</v>
      </c>
      <c r="F36" s="29">
        <v>15</v>
      </c>
      <c r="G36" s="108">
        <v>1190</v>
      </c>
      <c r="H36" s="15"/>
      <c r="I36" s="15"/>
      <c r="J36" s="15"/>
      <c r="K36" s="15">
        <f t="shared" si="10"/>
        <v>5350</v>
      </c>
      <c r="L36" s="15">
        <v>0</v>
      </c>
      <c r="M36" s="15">
        <v>588.20000000000005</v>
      </c>
      <c r="N36" s="15">
        <f t="shared" si="15"/>
        <v>588.20000000000005</v>
      </c>
      <c r="O36" s="15">
        <v>0</v>
      </c>
      <c r="P36" s="20">
        <f t="shared" si="14"/>
        <v>615.25</v>
      </c>
      <c r="Q36" s="15">
        <f t="shared" si="11"/>
        <v>2393.4499999999998</v>
      </c>
      <c r="R36" s="84">
        <f t="shared" si="12"/>
        <v>2956.55</v>
      </c>
      <c r="S36" s="11">
        <v>256.68</v>
      </c>
      <c r="T36" s="11">
        <v>1070</v>
      </c>
      <c r="U36" s="35">
        <f t="shared" si="13"/>
        <v>1326.68</v>
      </c>
    </row>
    <row r="37" spans="2:21" x14ac:dyDescent="0.25">
      <c r="B37" t="s">
        <v>130</v>
      </c>
      <c r="C37" t="s">
        <v>102</v>
      </c>
      <c r="D37" t="s">
        <v>82</v>
      </c>
      <c r="E37" s="15">
        <v>5350</v>
      </c>
      <c r="F37" s="29">
        <v>15</v>
      </c>
      <c r="G37" s="108">
        <v>927.62</v>
      </c>
      <c r="H37" s="15"/>
      <c r="I37" s="15"/>
      <c r="J37" s="15"/>
      <c r="K37" s="15">
        <f t="shared" si="10"/>
        <v>5350</v>
      </c>
      <c r="L37" s="15">
        <v>0</v>
      </c>
      <c r="M37" s="15">
        <v>586.03</v>
      </c>
      <c r="N37" s="15">
        <v>588.20000000000005</v>
      </c>
      <c r="O37" s="15">
        <v>0</v>
      </c>
      <c r="P37" s="20">
        <f t="shared" si="14"/>
        <v>615.25</v>
      </c>
      <c r="Q37" s="15">
        <f>SUM(N37:P37)+G37</f>
        <v>2131.0700000000002</v>
      </c>
      <c r="R37" s="84">
        <f t="shared" si="12"/>
        <v>3218.93</v>
      </c>
      <c r="S37" s="11">
        <v>256.68</v>
      </c>
      <c r="T37" s="11">
        <v>1070</v>
      </c>
      <c r="U37" s="35">
        <f t="shared" si="13"/>
        <v>1326.68</v>
      </c>
    </row>
    <row r="38" spans="2:21" x14ac:dyDescent="0.25">
      <c r="B38" t="s">
        <v>131</v>
      </c>
      <c r="C38" t="s">
        <v>85</v>
      </c>
      <c r="D38" t="s">
        <v>83</v>
      </c>
      <c r="E38" s="15">
        <v>5350</v>
      </c>
      <c r="F38" s="29">
        <v>15</v>
      </c>
      <c r="G38" s="108">
        <v>1784</v>
      </c>
      <c r="H38" s="15"/>
      <c r="I38" s="15"/>
      <c r="J38" s="15"/>
      <c r="K38" s="15">
        <f t="shared" si="10"/>
        <v>5350</v>
      </c>
      <c r="L38" s="15">
        <v>0</v>
      </c>
      <c r="M38" s="15">
        <v>588.20000000000005</v>
      </c>
      <c r="N38" s="15">
        <f t="shared" si="15"/>
        <v>588.20000000000005</v>
      </c>
      <c r="O38" s="15">
        <v>0</v>
      </c>
      <c r="P38" s="20">
        <f t="shared" si="14"/>
        <v>615.25</v>
      </c>
      <c r="Q38" s="15">
        <f t="shared" si="11"/>
        <v>2987.45</v>
      </c>
      <c r="R38" s="84">
        <f t="shared" si="12"/>
        <v>2362.5500000000002</v>
      </c>
      <c r="S38" s="11">
        <v>256.68</v>
      </c>
      <c r="T38" s="11">
        <v>1070</v>
      </c>
      <c r="U38" s="35">
        <f t="shared" si="13"/>
        <v>1326.68</v>
      </c>
    </row>
    <row r="39" spans="2:21" x14ac:dyDescent="0.25">
      <c r="B39" t="s">
        <v>132</v>
      </c>
      <c r="C39" t="s">
        <v>103</v>
      </c>
      <c r="D39" t="s">
        <v>83</v>
      </c>
      <c r="E39" s="15">
        <v>5350</v>
      </c>
      <c r="F39" s="29">
        <v>15</v>
      </c>
      <c r="G39" s="108">
        <v>1900</v>
      </c>
      <c r="H39" s="15"/>
      <c r="I39" s="71"/>
      <c r="J39" s="15"/>
      <c r="K39" s="15">
        <f t="shared" si="10"/>
        <v>5350</v>
      </c>
      <c r="L39" s="15">
        <v>0</v>
      </c>
      <c r="M39" s="15">
        <v>588.20000000000005</v>
      </c>
      <c r="N39" s="15">
        <f t="shared" si="15"/>
        <v>588.20000000000005</v>
      </c>
      <c r="O39" s="15">
        <v>0</v>
      </c>
      <c r="P39" s="20">
        <f t="shared" si="14"/>
        <v>615.25</v>
      </c>
      <c r="Q39" s="15">
        <f t="shared" si="11"/>
        <v>3103.45</v>
      </c>
      <c r="R39" s="84">
        <f t="shared" si="12"/>
        <v>2246.5500000000002</v>
      </c>
      <c r="S39" s="11">
        <v>256.68</v>
      </c>
      <c r="T39" s="11">
        <v>1070</v>
      </c>
      <c r="U39" s="35">
        <f t="shared" si="13"/>
        <v>1326.68</v>
      </c>
    </row>
    <row r="40" spans="2:21" x14ac:dyDescent="0.25">
      <c r="B40" s="2" t="s">
        <v>26</v>
      </c>
      <c r="C40" s="30"/>
      <c r="D40" s="30"/>
      <c r="E40" s="34">
        <f>SUM(E29:E39)</f>
        <v>58850</v>
      </c>
      <c r="F40" s="34"/>
      <c r="G40" s="34">
        <f>+G39+G38+G37+G36+G35+G34+G33</f>
        <v>6396.62</v>
      </c>
      <c r="H40" s="34"/>
      <c r="I40" s="34">
        <f>SUM(I29:I39)</f>
        <v>0</v>
      </c>
      <c r="J40" s="34">
        <f>SUM(J29:J39)</f>
        <v>0</v>
      </c>
      <c r="K40" s="34">
        <f>SUM(K29:K39)</f>
        <v>58850</v>
      </c>
      <c r="L40" s="34">
        <f t="shared" ref="L40:U40" si="16">SUM(L29:L39)</f>
        <v>0</v>
      </c>
      <c r="M40" s="34">
        <f t="shared" si="16"/>
        <v>6396.3399999999992</v>
      </c>
      <c r="N40" s="34">
        <f t="shared" si="16"/>
        <v>6470.0199999999995</v>
      </c>
      <c r="O40" s="34">
        <f t="shared" si="16"/>
        <v>0</v>
      </c>
      <c r="P40" s="34">
        <f>SUM(P29:P39)</f>
        <v>6767.75</v>
      </c>
      <c r="Q40" s="34">
        <f t="shared" si="16"/>
        <v>19634.39</v>
      </c>
      <c r="R40" s="34">
        <f t="shared" si="16"/>
        <v>39215.61</v>
      </c>
      <c r="S40" s="34">
        <f t="shared" si="16"/>
        <v>2823.4799999999996</v>
      </c>
      <c r="T40" s="34">
        <f t="shared" si="16"/>
        <v>11770</v>
      </c>
      <c r="U40" s="34">
        <f t="shared" si="16"/>
        <v>14593.480000000001</v>
      </c>
    </row>
    <row r="41" spans="2:21" hidden="1" x14ac:dyDescent="0.25"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2:21" x14ac:dyDescent="0.25">
      <c r="B42" s="2" t="s">
        <v>140</v>
      </c>
      <c r="C42" s="2" t="s">
        <v>64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2:21" x14ac:dyDescent="0.25">
      <c r="B43" t="s">
        <v>133</v>
      </c>
      <c r="C43" t="s">
        <v>99</v>
      </c>
      <c r="D43" t="s">
        <v>80</v>
      </c>
      <c r="E43" s="15">
        <v>5350</v>
      </c>
      <c r="F43" s="29">
        <v>15</v>
      </c>
      <c r="G43" s="15"/>
      <c r="H43" s="15"/>
      <c r="I43" s="77"/>
      <c r="J43" s="20"/>
      <c r="K43" s="20">
        <f>E43-I43</f>
        <v>5350</v>
      </c>
      <c r="L43" s="20">
        <v>0</v>
      </c>
      <c r="M43" s="20">
        <v>586.21</v>
      </c>
      <c r="N43" s="20">
        <v>588.20000000000005</v>
      </c>
      <c r="O43" s="15">
        <v>0</v>
      </c>
      <c r="P43" s="15">
        <f t="shared" ref="P43" si="17">E43*0.115</f>
        <v>615.25</v>
      </c>
      <c r="Q43" s="15">
        <f>SUM(N43:P43)+G43</f>
        <v>1203.45</v>
      </c>
      <c r="R43" s="84">
        <f>K43-Q43</f>
        <v>4146.55</v>
      </c>
      <c r="S43" s="11">
        <v>256.68</v>
      </c>
      <c r="T43" s="11">
        <v>1070</v>
      </c>
      <c r="U43" s="35">
        <f t="shared" ref="U43:U44" si="18">S43+T43</f>
        <v>1326.68</v>
      </c>
    </row>
    <row r="44" spans="2:21" x14ac:dyDescent="0.25">
      <c r="B44" t="s">
        <v>152</v>
      </c>
      <c r="C44" t="s">
        <v>92</v>
      </c>
      <c r="D44" t="s">
        <v>80</v>
      </c>
      <c r="E44" s="15">
        <v>5350</v>
      </c>
      <c r="F44" s="29">
        <v>15</v>
      </c>
      <c r="G44" s="15"/>
      <c r="H44" s="15"/>
      <c r="I44" s="15"/>
      <c r="J44" s="15"/>
      <c r="K44" s="15">
        <f>E44-I44</f>
        <v>5350</v>
      </c>
      <c r="L44" s="15">
        <v>0</v>
      </c>
      <c r="M44" s="15">
        <v>588.20000000000005</v>
      </c>
      <c r="N44" s="15">
        <v>588.20000000000005</v>
      </c>
      <c r="O44" s="15">
        <v>0</v>
      </c>
      <c r="P44" s="15">
        <f>K44*0.115</f>
        <v>615.25</v>
      </c>
      <c r="Q44" s="15">
        <f>SUM(N44:P44)+G44</f>
        <v>1203.45</v>
      </c>
      <c r="R44" s="84">
        <f>K44-Q44</f>
        <v>4146.55</v>
      </c>
      <c r="S44" s="11">
        <v>256.68</v>
      </c>
      <c r="T44" s="11">
        <v>1070</v>
      </c>
      <c r="U44" s="35">
        <f t="shared" si="18"/>
        <v>1326.68</v>
      </c>
    </row>
    <row r="45" spans="2:21" x14ac:dyDescent="0.25">
      <c r="B45" s="2" t="s">
        <v>26</v>
      </c>
      <c r="C45" s="30"/>
      <c r="D45" s="30"/>
      <c r="E45" s="34">
        <f>E43+E44</f>
        <v>10700</v>
      </c>
      <c r="F45" s="34"/>
      <c r="G45" s="34">
        <f>+G44+G43</f>
        <v>0</v>
      </c>
      <c r="H45" s="34"/>
      <c r="I45" s="34">
        <f>I43+I44</f>
        <v>0</v>
      </c>
      <c r="J45" s="34">
        <f>J43+J44</f>
        <v>0</v>
      </c>
      <c r="K45" s="34">
        <f t="shared" ref="K45:U45" si="19">K43+K44</f>
        <v>10700</v>
      </c>
      <c r="L45" s="34">
        <f t="shared" si="19"/>
        <v>0</v>
      </c>
      <c r="M45" s="34">
        <f t="shared" si="19"/>
        <v>1174.4100000000001</v>
      </c>
      <c r="N45" s="34">
        <f t="shared" si="19"/>
        <v>1176.4000000000001</v>
      </c>
      <c r="O45" s="34">
        <f t="shared" si="19"/>
        <v>0</v>
      </c>
      <c r="P45" s="34">
        <f>P43+P44</f>
        <v>1230.5</v>
      </c>
      <c r="Q45" s="34">
        <f t="shared" si="19"/>
        <v>2406.9</v>
      </c>
      <c r="R45" s="34">
        <f t="shared" si="19"/>
        <v>8293.1</v>
      </c>
      <c r="S45" s="34">
        <f t="shared" si="19"/>
        <v>513.36</v>
      </c>
      <c r="T45" s="34">
        <f t="shared" si="19"/>
        <v>2140</v>
      </c>
      <c r="U45" s="34">
        <f t="shared" si="19"/>
        <v>2653.36</v>
      </c>
    </row>
    <row r="46" spans="2:21" hidden="1" x14ac:dyDescent="0.25">
      <c r="B46" s="2"/>
      <c r="E46" s="15"/>
      <c r="F46" s="15"/>
      <c r="G46" s="15"/>
      <c r="H46" s="15"/>
      <c r="I46" s="15"/>
      <c r="J46" s="15"/>
      <c r="K46" s="16"/>
      <c r="L46" s="16"/>
      <c r="M46" s="16"/>
      <c r="N46" s="16"/>
      <c r="O46" s="16"/>
      <c r="P46" s="16"/>
      <c r="Q46" s="16"/>
      <c r="R46" s="16"/>
      <c r="S46" s="8"/>
      <c r="T46" s="8"/>
      <c r="U46" s="8"/>
    </row>
    <row r="47" spans="2:21" x14ac:dyDescent="0.25">
      <c r="B47" s="2" t="s">
        <v>161</v>
      </c>
      <c r="C47" s="2" t="s">
        <v>162</v>
      </c>
      <c r="E47" s="15"/>
      <c r="F47" s="15"/>
      <c r="G47" s="15"/>
      <c r="H47" s="15"/>
      <c r="I47" s="15"/>
      <c r="J47" s="15"/>
      <c r="K47" s="16"/>
      <c r="L47" s="16"/>
      <c r="M47" s="16"/>
      <c r="N47" s="16"/>
      <c r="O47" s="16"/>
      <c r="P47" s="16"/>
      <c r="Q47" s="16"/>
      <c r="R47" s="16"/>
      <c r="S47" s="8"/>
      <c r="T47" s="8"/>
      <c r="U47" s="8"/>
    </row>
    <row r="48" spans="2:21" x14ac:dyDescent="0.25">
      <c r="B48" t="s">
        <v>163</v>
      </c>
      <c r="C48" s="11" t="s">
        <v>42</v>
      </c>
      <c r="D48" t="s">
        <v>2</v>
      </c>
      <c r="E48" s="15">
        <v>10000</v>
      </c>
      <c r="F48" s="29">
        <v>15</v>
      </c>
      <c r="G48" s="15"/>
      <c r="H48" s="15"/>
      <c r="I48" s="15"/>
      <c r="J48" s="15"/>
      <c r="K48" s="15">
        <f>E48-I48</f>
        <v>10000</v>
      </c>
      <c r="L48" s="15">
        <v>0</v>
      </c>
      <c r="M48" s="15">
        <v>1581.44</v>
      </c>
      <c r="N48" s="15">
        <f>M48-L48</f>
        <v>1581.44</v>
      </c>
      <c r="O48" s="15">
        <v>0</v>
      </c>
      <c r="P48" s="15">
        <f>E48*0.115</f>
        <v>1150</v>
      </c>
      <c r="Q48" s="15">
        <f>SUM(N48:P48)+G48</f>
        <v>2731.44</v>
      </c>
      <c r="R48" s="84">
        <f>K48-Q48</f>
        <v>7268.5599999999995</v>
      </c>
      <c r="S48" s="11">
        <v>285.52999999999997</v>
      </c>
      <c r="T48" s="11">
        <v>2000</v>
      </c>
      <c r="U48" s="35">
        <f>S48+T48</f>
        <v>2285.5299999999997</v>
      </c>
    </row>
    <row r="49" spans="2:21" x14ac:dyDescent="0.25">
      <c r="B49" s="2" t="s">
        <v>26</v>
      </c>
      <c r="E49" s="34">
        <f>E48</f>
        <v>10000</v>
      </c>
      <c r="F49" s="34"/>
      <c r="G49" s="34">
        <f>+G48</f>
        <v>0</v>
      </c>
      <c r="H49" s="34"/>
      <c r="I49" s="34">
        <f>I48</f>
        <v>0</v>
      </c>
      <c r="J49" s="34">
        <f>J48</f>
        <v>0</v>
      </c>
      <c r="K49" s="34">
        <f t="shared" ref="K49:U49" si="20">K48</f>
        <v>10000</v>
      </c>
      <c r="L49" s="34">
        <f t="shared" si="20"/>
        <v>0</v>
      </c>
      <c r="M49" s="34">
        <f t="shared" si="20"/>
        <v>1581.44</v>
      </c>
      <c r="N49" s="34">
        <f t="shared" si="20"/>
        <v>1581.44</v>
      </c>
      <c r="O49" s="34">
        <f t="shared" si="20"/>
        <v>0</v>
      </c>
      <c r="P49" s="34">
        <f>P48</f>
        <v>1150</v>
      </c>
      <c r="Q49" s="34">
        <f t="shared" si="20"/>
        <v>2731.44</v>
      </c>
      <c r="R49" s="34">
        <f t="shared" si="20"/>
        <v>7268.5599999999995</v>
      </c>
      <c r="S49" s="34">
        <f t="shared" si="20"/>
        <v>285.52999999999997</v>
      </c>
      <c r="T49" s="34">
        <f t="shared" si="20"/>
        <v>2000</v>
      </c>
      <c r="U49" s="34">
        <f t="shared" si="20"/>
        <v>2285.5299999999997</v>
      </c>
    </row>
    <row r="50" spans="2:21" ht="12" customHeight="1" x14ac:dyDescent="0.25">
      <c r="B50" s="2"/>
      <c r="E50" s="15"/>
      <c r="F50" s="15"/>
      <c r="G50" s="15"/>
      <c r="H50" s="15"/>
      <c r="I50" s="15"/>
      <c r="J50" s="15"/>
      <c r="K50" s="16"/>
      <c r="L50" s="16"/>
      <c r="M50" s="16"/>
      <c r="N50" s="16"/>
      <c r="O50" s="16"/>
      <c r="P50" s="16"/>
      <c r="Q50" s="16"/>
      <c r="R50" s="16"/>
      <c r="S50" s="8"/>
      <c r="T50" s="8"/>
      <c r="U50" s="8"/>
    </row>
    <row r="51" spans="2:21" hidden="1" x14ac:dyDescent="0.25"/>
    <row r="52" spans="2:21" ht="18.75" x14ac:dyDescent="0.3">
      <c r="C52" s="53" t="s">
        <v>105</v>
      </c>
      <c r="E52" s="17">
        <f>E9+E20+E26+E40+E45+E49</f>
        <v>158954.95000000001</v>
      </c>
      <c r="F52" s="17"/>
      <c r="G52" s="17">
        <f>G9+G20+G26+G40+G45+G49</f>
        <v>17581.62</v>
      </c>
      <c r="H52" s="17"/>
      <c r="I52" s="17">
        <f>I9+I20+I26+I40+I45+I49</f>
        <v>718.44</v>
      </c>
      <c r="J52" s="17">
        <f t="shared" ref="J52:U52" si="21">J9+J20+J26+J40+J45+J49</f>
        <v>0</v>
      </c>
      <c r="K52" s="17">
        <f>K9+K20+K26+K40+K45+K49</f>
        <v>158236.51</v>
      </c>
      <c r="L52" s="17">
        <f t="shared" si="21"/>
        <v>274.08999999999997</v>
      </c>
      <c r="M52" s="17">
        <f t="shared" si="21"/>
        <v>19286.219999999998</v>
      </c>
      <c r="N52" s="17">
        <f t="shared" si="21"/>
        <v>19225.43</v>
      </c>
      <c r="O52" s="17">
        <f t="shared" si="21"/>
        <v>0</v>
      </c>
      <c r="P52" s="17">
        <f>P9+P20+P26+P40+P45+P49</f>
        <v>17665.539250000002</v>
      </c>
      <c r="Q52" s="17">
        <f t="shared" si="21"/>
        <v>54472.589249999997</v>
      </c>
      <c r="R52" s="54">
        <f>R9+R20+R26+R40+R45+R49</f>
        <v>103763.92075</v>
      </c>
      <c r="S52" s="17">
        <f>S9+S20+S26+S40+S45+S49</f>
        <v>7020.3799999999992</v>
      </c>
      <c r="T52" s="17">
        <f>T9+T20+T26+T40+T45+T49</f>
        <v>30720.989999999998</v>
      </c>
      <c r="U52" s="55">
        <f t="shared" si="21"/>
        <v>37741.370000000003</v>
      </c>
    </row>
    <row r="55" spans="2:21" ht="15.75" thickBot="1" x14ac:dyDescent="0.3">
      <c r="E55" s="375"/>
      <c r="F55" s="375"/>
      <c r="G55" s="109"/>
      <c r="H55" s="109"/>
      <c r="P55" s="376"/>
      <c r="Q55" s="376"/>
    </row>
    <row r="56" spans="2:21" x14ac:dyDescent="0.25">
      <c r="E56" s="377" t="s">
        <v>177</v>
      </c>
      <c r="F56" s="377"/>
      <c r="G56" s="110"/>
      <c r="H56" s="110"/>
      <c r="P56" s="26"/>
      <c r="Q56" s="26"/>
      <c r="R56" s="378" t="s">
        <v>157</v>
      </c>
      <c r="S56" s="378"/>
    </row>
    <row r="60" spans="2:21" x14ac:dyDescent="0.25">
      <c r="C60" t="s">
        <v>174</v>
      </c>
    </row>
  </sheetData>
  <mergeCells count="5">
    <mergeCell ref="B4:U4"/>
    <mergeCell ref="E55:F55"/>
    <mergeCell ref="P55:Q55"/>
    <mergeCell ref="E56:F56"/>
    <mergeCell ref="R56:S56"/>
  </mergeCells>
  <pageMargins left="0.51181102362204722" right="0.51181102362204722" top="0.15748031496062992" bottom="0.35433070866141736" header="0.31496062992125984" footer="0.31496062992125984"/>
  <pageSetup paperSize="9" scale="40" fitToHeight="0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V60"/>
  <sheetViews>
    <sheetView topLeftCell="C14" zoomScale="85" zoomScaleNormal="85" workbookViewId="0">
      <selection activeCell="R48" sqref="R48"/>
    </sheetView>
  </sheetViews>
  <sheetFormatPr baseColWidth="10" defaultRowHeight="15" x14ac:dyDescent="0.25"/>
  <cols>
    <col min="1" max="1" width="0.7109375" customWidth="1"/>
    <col min="2" max="2" width="17.140625" customWidth="1"/>
    <col min="3" max="3" width="34.140625" customWidth="1"/>
    <col min="4" max="4" width="28" customWidth="1"/>
    <col min="5" max="5" width="18.42578125" customWidth="1"/>
    <col min="6" max="6" width="12.7109375" customWidth="1"/>
    <col min="7" max="7" width="12.28515625" customWidth="1"/>
    <col min="8" max="8" width="14.140625" customWidth="1"/>
    <col min="9" max="9" width="13.85546875" customWidth="1"/>
    <col min="10" max="10" width="11.42578125" customWidth="1"/>
    <col min="11" max="11" width="13.85546875" customWidth="1"/>
    <col min="12" max="12" width="9.42578125" customWidth="1"/>
    <col min="13" max="13" width="14.42578125" customWidth="1"/>
    <col min="14" max="14" width="12.7109375" customWidth="1"/>
    <col min="15" max="15" width="11.42578125" customWidth="1"/>
    <col min="16" max="16" width="12.85546875" customWidth="1"/>
    <col min="17" max="17" width="16.5703125" customWidth="1"/>
    <col min="18" max="18" width="18.28515625" customWidth="1"/>
    <col min="19" max="19" width="16.140625" customWidth="1"/>
    <col min="20" max="20" width="14.85546875" customWidth="1"/>
    <col min="21" max="21" width="17" customWidth="1"/>
  </cols>
  <sheetData>
    <row r="3" spans="2:22" x14ac:dyDescent="0.25"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2:22" ht="16.5" customHeight="1" x14ac:dyDescent="0.25">
      <c r="B4" s="380" t="s">
        <v>193</v>
      </c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</row>
    <row r="5" spans="2:22" s="56" customFormat="1" ht="39.75" customHeight="1" x14ac:dyDescent="0.25">
      <c r="B5" s="120" t="s">
        <v>9</v>
      </c>
      <c r="C5" s="119" t="s">
        <v>10</v>
      </c>
      <c r="D5" s="103" t="s">
        <v>0</v>
      </c>
      <c r="E5" s="61" t="s">
        <v>11</v>
      </c>
      <c r="F5" s="100" t="s">
        <v>150</v>
      </c>
      <c r="G5" s="117" t="s">
        <v>180</v>
      </c>
      <c r="H5" s="118" t="s">
        <v>182</v>
      </c>
      <c r="I5" s="97" t="s">
        <v>169</v>
      </c>
      <c r="J5" s="103" t="s">
        <v>170</v>
      </c>
      <c r="K5" s="103" t="s">
        <v>12</v>
      </c>
      <c r="L5" s="99" t="s">
        <v>107</v>
      </c>
      <c r="M5" s="100" t="s">
        <v>143</v>
      </c>
      <c r="N5" s="100" t="s">
        <v>13</v>
      </c>
      <c r="O5" s="101" t="s">
        <v>171</v>
      </c>
      <c r="P5" s="116" t="s">
        <v>16</v>
      </c>
      <c r="Q5" s="115" t="s">
        <v>17</v>
      </c>
      <c r="R5" s="122" t="s">
        <v>72</v>
      </c>
      <c r="S5" s="99" t="s">
        <v>8</v>
      </c>
      <c r="T5" s="123" t="s">
        <v>18</v>
      </c>
      <c r="U5" s="123" t="s">
        <v>73</v>
      </c>
      <c r="V5" s="102"/>
    </row>
    <row r="6" spans="2:22" x14ac:dyDescent="0.25">
      <c r="B6" s="107" t="s">
        <v>19</v>
      </c>
      <c r="C6" s="121" t="s">
        <v>20</v>
      </c>
      <c r="D6" s="121"/>
      <c r="E6" s="95"/>
      <c r="F6" s="15"/>
      <c r="G6" s="114"/>
      <c r="H6" s="15"/>
      <c r="I6" s="95"/>
      <c r="J6" s="95"/>
      <c r="K6" s="95"/>
      <c r="L6" s="15"/>
      <c r="M6" s="15"/>
      <c r="N6" s="15"/>
      <c r="O6" s="95"/>
      <c r="P6" s="15"/>
      <c r="Q6" s="95"/>
      <c r="R6" s="15"/>
    </row>
    <row r="7" spans="2:22" x14ac:dyDescent="0.25">
      <c r="B7" t="s">
        <v>21</v>
      </c>
      <c r="C7" s="11" t="s">
        <v>22</v>
      </c>
      <c r="D7" t="s">
        <v>25</v>
      </c>
      <c r="E7" s="15">
        <v>16954.95</v>
      </c>
      <c r="F7" s="29">
        <v>15</v>
      </c>
      <c r="G7" s="124">
        <v>2700</v>
      </c>
      <c r="H7" s="15"/>
      <c r="I7" s="15"/>
      <c r="J7" s="15"/>
      <c r="K7" s="15">
        <f>E7-I7</f>
        <v>16954.95</v>
      </c>
      <c r="L7" s="15">
        <v>0</v>
      </c>
      <c r="M7" s="15">
        <v>3246.93</v>
      </c>
      <c r="N7" s="15">
        <f>M7-L7</f>
        <v>3246.93</v>
      </c>
      <c r="O7" s="15">
        <v>0</v>
      </c>
      <c r="P7" s="20">
        <f>E7*0.115</f>
        <v>1949.8192500000002</v>
      </c>
      <c r="Q7" s="15">
        <f>SUM(N7:P7)+G7</f>
        <v>7896.7492499999998</v>
      </c>
      <c r="R7" s="125">
        <f>K7-Q7</f>
        <v>9058.20075</v>
      </c>
      <c r="S7" s="11">
        <v>328.67</v>
      </c>
      <c r="T7" s="11">
        <v>3390.99</v>
      </c>
      <c r="U7" s="35">
        <f>SUM(S7:T7)</f>
        <v>3719.66</v>
      </c>
    </row>
    <row r="8" spans="2:22" x14ac:dyDescent="0.25">
      <c r="B8" t="s">
        <v>23</v>
      </c>
      <c r="C8" s="11" t="s">
        <v>24</v>
      </c>
      <c r="D8" t="s">
        <v>3</v>
      </c>
      <c r="E8" s="15">
        <v>4850</v>
      </c>
      <c r="F8" s="29">
        <v>15</v>
      </c>
      <c r="G8" s="124">
        <v>809</v>
      </c>
      <c r="H8" s="15"/>
      <c r="I8" s="15"/>
      <c r="J8" s="15"/>
      <c r="K8" s="15">
        <f>E8-I8</f>
        <v>4850</v>
      </c>
      <c r="L8" s="15">
        <v>0</v>
      </c>
      <c r="M8" s="15">
        <v>491.69</v>
      </c>
      <c r="N8" s="15">
        <f>M8-L8</f>
        <v>491.69</v>
      </c>
      <c r="O8" s="15">
        <v>0</v>
      </c>
      <c r="P8" s="20">
        <f>E8*0.115</f>
        <v>557.75</v>
      </c>
      <c r="Q8" s="15">
        <f>SUM(N8:P8)+G8</f>
        <v>1858.44</v>
      </c>
      <c r="R8" s="125">
        <f>K8-Q8</f>
        <v>2991.56</v>
      </c>
      <c r="S8" s="11">
        <v>253.58</v>
      </c>
      <c r="T8" s="11">
        <v>970</v>
      </c>
      <c r="U8" s="35">
        <f t="shared" ref="U8" si="0">SUM(S8:T8)</f>
        <v>1223.58</v>
      </c>
    </row>
    <row r="9" spans="2:22" x14ac:dyDescent="0.25">
      <c r="B9" s="7" t="s">
        <v>26</v>
      </c>
      <c r="C9" s="30"/>
      <c r="D9" s="30"/>
      <c r="E9" s="34">
        <f>SUM(E7:E8)</f>
        <v>21804.95</v>
      </c>
      <c r="F9" s="34"/>
      <c r="G9" s="34">
        <f>+G8+G7</f>
        <v>3509</v>
      </c>
      <c r="H9" s="34"/>
      <c r="I9" s="34">
        <f t="shared" ref="I9:U9" si="1">SUM(I7:I8)</f>
        <v>0</v>
      </c>
      <c r="J9" s="34">
        <f t="shared" si="1"/>
        <v>0</v>
      </c>
      <c r="K9" s="34">
        <f t="shared" si="1"/>
        <v>21804.95</v>
      </c>
      <c r="L9" s="34">
        <f t="shared" si="1"/>
        <v>0</v>
      </c>
      <c r="M9" s="34">
        <f t="shared" si="1"/>
        <v>3738.62</v>
      </c>
      <c r="N9" s="34">
        <f t="shared" si="1"/>
        <v>3738.62</v>
      </c>
      <c r="O9" s="34">
        <f t="shared" si="1"/>
        <v>0</v>
      </c>
      <c r="P9" s="34">
        <f>SUM(P7:P8)</f>
        <v>2507.5692500000005</v>
      </c>
      <c r="Q9" s="34">
        <f t="shared" si="1"/>
        <v>9755.1892499999994</v>
      </c>
      <c r="R9" s="34">
        <f t="shared" si="1"/>
        <v>12049.760749999999</v>
      </c>
      <c r="S9" s="34">
        <f t="shared" si="1"/>
        <v>582.25</v>
      </c>
      <c r="T9" s="34">
        <f t="shared" si="1"/>
        <v>4360.99</v>
      </c>
      <c r="U9" s="34">
        <f t="shared" si="1"/>
        <v>4943.24</v>
      </c>
    </row>
    <row r="10" spans="2:22" ht="10.5" hidden="1" customHeight="1" x14ac:dyDescent="0.25"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2:22" x14ac:dyDescent="0.25">
      <c r="B11" s="2" t="s">
        <v>27</v>
      </c>
      <c r="C11" s="2" t="s">
        <v>28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2:22" x14ac:dyDescent="0.25">
      <c r="B12" t="s">
        <v>32</v>
      </c>
      <c r="C12" s="11" t="s">
        <v>37</v>
      </c>
      <c r="D12" t="s">
        <v>1</v>
      </c>
      <c r="E12" s="15">
        <v>10000</v>
      </c>
      <c r="F12" s="29">
        <v>15</v>
      </c>
      <c r="G12" s="124">
        <v>3334</v>
      </c>
      <c r="H12" s="15"/>
      <c r="I12" s="15"/>
      <c r="J12" s="15"/>
      <c r="K12" s="15">
        <f t="shared" ref="K12:K19" si="2">E12-I12</f>
        <v>10000</v>
      </c>
      <c r="L12" s="15">
        <v>0</v>
      </c>
      <c r="M12" s="15">
        <v>1581.44</v>
      </c>
      <c r="N12" s="15">
        <f>M12-L12</f>
        <v>1581.44</v>
      </c>
      <c r="O12" s="15">
        <v>0</v>
      </c>
      <c r="P12" s="15">
        <f t="shared" ref="P12:P19" si="3">E12*0.115</f>
        <v>1150</v>
      </c>
      <c r="Q12" s="15">
        <f>SUM(N12:P12)+G12</f>
        <v>6065.4400000000005</v>
      </c>
      <c r="R12" s="125">
        <f t="shared" ref="R12:R19" si="4">K12-Q12</f>
        <v>3934.5599999999995</v>
      </c>
      <c r="S12" s="11">
        <v>285.52999999999997</v>
      </c>
      <c r="T12" s="11">
        <v>2000</v>
      </c>
      <c r="U12" s="35">
        <f>S12+T12</f>
        <v>2285.5299999999997</v>
      </c>
    </row>
    <row r="13" spans="2:22" x14ac:dyDescent="0.25">
      <c r="B13" t="s">
        <v>33</v>
      </c>
      <c r="C13" s="11" t="s">
        <v>38</v>
      </c>
      <c r="D13" t="s">
        <v>74</v>
      </c>
      <c r="E13" s="15">
        <v>5350</v>
      </c>
      <c r="F13" s="29">
        <v>15</v>
      </c>
      <c r="G13" s="15"/>
      <c r="H13" s="15"/>
      <c r="I13" s="77"/>
      <c r="J13" s="19"/>
      <c r="K13" s="15">
        <f>E13-I13</f>
        <v>5350</v>
      </c>
      <c r="L13" s="15">
        <v>0</v>
      </c>
      <c r="M13" s="15">
        <v>586.75</v>
      </c>
      <c r="N13" s="15">
        <v>588.20000000000005</v>
      </c>
      <c r="O13" s="15">
        <v>0</v>
      </c>
      <c r="P13" s="15">
        <f t="shared" si="3"/>
        <v>615.25</v>
      </c>
      <c r="Q13" s="15">
        <f t="shared" ref="Q13:Q19" si="5">SUM(N13:P13)+G13</f>
        <v>1203.45</v>
      </c>
      <c r="R13" s="125">
        <f t="shared" si="4"/>
        <v>4146.55</v>
      </c>
      <c r="S13" s="11">
        <v>256.68</v>
      </c>
      <c r="T13" s="11">
        <v>1070</v>
      </c>
      <c r="U13" s="35">
        <f>S13+T13</f>
        <v>1326.68</v>
      </c>
    </row>
    <row r="14" spans="2:22" x14ac:dyDescent="0.25">
      <c r="B14" t="s">
        <v>34</v>
      </c>
      <c r="C14" s="11" t="s">
        <v>178</v>
      </c>
      <c r="D14" t="s">
        <v>179</v>
      </c>
      <c r="E14" s="15">
        <v>5350</v>
      </c>
      <c r="F14" s="29">
        <v>15</v>
      </c>
      <c r="G14" s="15"/>
      <c r="H14" s="20"/>
      <c r="I14" s="19"/>
      <c r="J14" s="19"/>
      <c r="K14" s="15">
        <f>+E14+H14</f>
        <v>5350</v>
      </c>
      <c r="L14" s="15">
        <v>0</v>
      </c>
      <c r="M14" s="15">
        <v>586.75</v>
      </c>
      <c r="N14" s="15">
        <v>588.20000000000005</v>
      </c>
      <c r="O14" s="15">
        <v>0</v>
      </c>
      <c r="P14" s="113"/>
      <c r="Q14" s="15">
        <f>SUM(N14:P14)+G14</f>
        <v>588.20000000000005</v>
      </c>
      <c r="R14" s="125">
        <f>K14-Q14</f>
        <v>4761.8</v>
      </c>
      <c r="S14" s="11">
        <v>256.68</v>
      </c>
      <c r="T14" s="11">
        <v>0</v>
      </c>
      <c r="U14" s="35">
        <f>S14+T14</f>
        <v>256.68</v>
      </c>
    </row>
    <row r="15" spans="2:22" x14ac:dyDescent="0.25">
      <c r="B15" t="s">
        <v>35</v>
      </c>
      <c r="C15" t="s">
        <v>111</v>
      </c>
      <c r="D15" t="s">
        <v>77</v>
      </c>
      <c r="E15" s="15">
        <v>6000</v>
      </c>
      <c r="F15" s="29">
        <v>15</v>
      </c>
      <c r="G15" s="15"/>
      <c r="H15" s="15"/>
      <c r="I15" s="15"/>
      <c r="J15" s="15"/>
      <c r="K15" s="15">
        <f t="shared" si="2"/>
        <v>6000</v>
      </c>
      <c r="L15" s="15">
        <v>0</v>
      </c>
      <c r="M15" s="15">
        <v>727.04</v>
      </c>
      <c r="N15" s="15">
        <f t="shared" ref="N15:N19" si="6">M15-L15</f>
        <v>727.04</v>
      </c>
      <c r="O15" s="15">
        <v>0</v>
      </c>
      <c r="P15" s="15">
        <f>E15*0.115</f>
        <v>690</v>
      </c>
      <c r="Q15" s="15">
        <f t="shared" si="5"/>
        <v>1417.04</v>
      </c>
      <c r="R15" s="125">
        <f t="shared" si="4"/>
        <v>4582.96</v>
      </c>
      <c r="S15" s="11">
        <v>260.72000000000003</v>
      </c>
      <c r="T15" s="11">
        <v>1200</v>
      </c>
      <c r="U15" s="35">
        <f>S15+T15</f>
        <v>1460.72</v>
      </c>
    </row>
    <row r="16" spans="2:22" x14ac:dyDescent="0.25">
      <c r="B16" t="s">
        <v>36</v>
      </c>
      <c r="C16" t="s">
        <v>86</v>
      </c>
      <c r="D16" t="s">
        <v>39</v>
      </c>
      <c r="E16" s="15">
        <v>4500</v>
      </c>
      <c r="F16" s="29">
        <v>15</v>
      </c>
      <c r="G16" s="124">
        <v>750</v>
      </c>
      <c r="H16" s="15"/>
      <c r="I16" s="15"/>
      <c r="J16" s="15"/>
      <c r="K16" s="15">
        <f t="shared" si="2"/>
        <v>4500</v>
      </c>
      <c r="L16" s="15">
        <v>0</v>
      </c>
      <c r="M16" s="15">
        <v>428.97</v>
      </c>
      <c r="N16" s="15">
        <f t="shared" si="6"/>
        <v>428.97</v>
      </c>
      <c r="O16" s="15">
        <v>0</v>
      </c>
      <c r="P16" s="15">
        <f t="shared" si="3"/>
        <v>517.5</v>
      </c>
      <c r="Q16" s="15">
        <f t="shared" si="5"/>
        <v>1696.47</v>
      </c>
      <c r="R16" s="125">
        <f t="shared" si="4"/>
        <v>2803.5299999999997</v>
      </c>
      <c r="S16" s="11">
        <v>251.41</v>
      </c>
      <c r="T16" s="11">
        <v>900</v>
      </c>
      <c r="U16" s="35">
        <f>S16+T16</f>
        <v>1151.4100000000001</v>
      </c>
    </row>
    <row r="17" spans="2:21" x14ac:dyDescent="0.25">
      <c r="B17" t="s">
        <v>115</v>
      </c>
      <c r="C17" t="s">
        <v>87</v>
      </c>
      <c r="D17" t="s">
        <v>39</v>
      </c>
      <c r="E17" s="15">
        <v>4500</v>
      </c>
      <c r="F17" s="29">
        <v>15</v>
      </c>
      <c r="G17" s="124">
        <v>610</v>
      </c>
      <c r="H17" s="15"/>
      <c r="I17" s="15"/>
      <c r="J17" s="15"/>
      <c r="K17" s="15">
        <f t="shared" si="2"/>
        <v>4500</v>
      </c>
      <c r="L17" s="15">
        <v>0</v>
      </c>
      <c r="M17" s="15">
        <v>428.97</v>
      </c>
      <c r="N17" s="15">
        <v>428.97</v>
      </c>
      <c r="O17" s="15">
        <v>0</v>
      </c>
      <c r="P17" s="15">
        <f t="shared" si="3"/>
        <v>517.5</v>
      </c>
      <c r="Q17" s="15">
        <f t="shared" si="5"/>
        <v>1556.47</v>
      </c>
      <c r="R17" s="125">
        <f t="shared" si="4"/>
        <v>2943.5299999999997</v>
      </c>
      <c r="S17" s="11">
        <v>251.41</v>
      </c>
      <c r="T17" s="11">
        <v>900</v>
      </c>
      <c r="U17" s="35">
        <f t="shared" ref="U17:U19" si="7">S17+T17</f>
        <v>1151.4100000000001</v>
      </c>
    </row>
    <row r="18" spans="2:21" x14ac:dyDescent="0.25">
      <c r="B18" t="s">
        <v>116</v>
      </c>
      <c r="C18" t="s">
        <v>89</v>
      </c>
      <c r="D18" t="s">
        <v>4</v>
      </c>
      <c r="E18" s="15">
        <v>2700</v>
      </c>
      <c r="F18" s="29">
        <v>15</v>
      </c>
      <c r="G18" s="124">
        <v>450</v>
      </c>
      <c r="H18" s="15"/>
      <c r="I18" s="15"/>
      <c r="J18" s="15"/>
      <c r="K18" s="15">
        <f t="shared" si="2"/>
        <v>2700</v>
      </c>
      <c r="L18" s="15">
        <v>147.32</v>
      </c>
      <c r="M18" s="15">
        <v>188.33</v>
      </c>
      <c r="N18" s="15">
        <f t="shared" si="6"/>
        <v>41.010000000000019</v>
      </c>
      <c r="O18" s="15">
        <v>0</v>
      </c>
      <c r="P18" s="20">
        <f t="shared" si="3"/>
        <v>310.5</v>
      </c>
      <c r="Q18" s="15">
        <f t="shared" si="5"/>
        <v>801.51</v>
      </c>
      <c r="R18" s="125">
        <f t="shared" si="4"/>
        <v>1898.49</v>
      </c>
      <c r="S18" s="11">
        <v>240.25</v>
      </c>
      <c r="T18" s="11">
        <v>540</v>
      </c>
      <c r="U18" s="35">
        <f t="shared" si="7"/>
        <v>780.25</v>
      </c>
    </row>
    <row r="19" spans="2:21" x14ac:dyDescent="0.25">
      <c r="B19" t="s">
        <v>117</v>
      </c>
      <c r="C19" t="s">
        <v>88</v>
      </c>
      <c r="D19" t="s">
        <v>40</v>
      </c>
      <c r="E19" s="15">
        <v>3150</v>
      </c>
      <c r="F19" s="29">
        <v>15</v>
      </c>
      <c r="G19" s="124">
        <v>525</v>
      </c>
      <c r="H19" s="15"/>
      <c r="I19" s="15"/>
      <c r="J19" s="15"/>
      <c r="K19" s="15">
        <f t="shared" si="2"/>
        <v>3150</v>
      </c>
      <c r="L19" s="15">
        <v>126.77</v>
      </c>
      <c r="M19" s="15">
        <v>237.29</v>
      </c>
      <c r="N19" s="15">
        <f t="shared" si="6"/>
        <v>110.52</v>
      </c>
      <c r="O19" s="15">
        <v>0</v>
      </c>
      <c r="P19" s="20">
        <f t="shared" si="3"/>
        <v>362.25</v>
      </c>
      <c r="Q19" s="15">
        <f t="shared" si="5"/>
        <v>997.77</v>
      </c>
      <c r="R19" s="125">
        <f t="shared" si="4"/>
        <v>2152.23</v>
      </c>
      <c r="S19" s="11">
        <v>243.04</v>
      </c>
      <c r="T19" s="11">
        <v>630</v>
      </c>
      <c r="U19" s="35">
        <f t="shared" si="7"/>
        <v>873.04</v>
      </c>
    </row>
    <row r="20" spans="2:21" x14ac:dyDescent="0.25">
      <c r="B20" s="2" t="s">
        <v>26</v>
      </c>
      <c r="C20" s="30"/>
      <c r="D20" s="30"/>
      <c r="E20" s="34">
        <f>SUM(E12:E19)</f>
        <v>41550</v>
      </c>
      <c r="F20" s="34"/>
      <c r="G20" s="34">
        <f>+G19+G18+G17+G16+G12</f>
        <v>5669</v>
      </c>
      <c r="H20" s="34"/>
      <c r="I20" s="34">
        <f t="shared" ref="I20:U20" si="8">SUM(I12:I19)</f>
        <v>0</v>
      </c>
      <c r="J20" s="34">
        <f t="shared" si="8"/>
        <v>0</v>
      </c>
      <c r="K20" s="34">
        <f t="shared" si="8"/>
        <v>41550</v>
      </c>
      <c r="L20" s="34">
        <f t="shared" si="8"/>
        <v>274.08999999999997</v>
      </c>
      <c r="M20" s="34">
        <f t="shared" si="8"/>
        <v>4765.54</v>
      </c>
      <c r="N20" s="34">
        <f t="shared" si="8"/>
        <v>4494.3500000000013</v>
      </c>
      <c r="O20" s="34">
        <f t="shared" si="8"/>
        <v>0</v>
      </c>
      <c r="P20" s="34">
        <f>SUM(P12:P19)</f>
        <v>4163</v>
      </c>
      <c r="Q20" s="34">
        <f t="shared" si="8"/>
        <v>14326.35</v>
      </c>
      <c r="R20" s="34">
        <f t="shared" si="8"/>
        <v>27223.649999999998</v>
      </c>
      <c r="S20" s="34">
        <f t="shared" si="8"/>
        <v>2045.7200000000003</v>
      </c>
      <c r="T20" s="34">
        <f t="shared" si="8"/>
        <v>7240</v>
      </c>
      <c r="U20" s="34">
        <f t="shared" si="8"/>
        <v>9285.7200000000012</v>
      </c>
    </row>
    <row r="21" spans="2:21" hidden="1" x14ac:dyDescent="0.25">
      <c r="B21" s="2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2:21" x14ac:dyDescent="0.25">
      <c r="B22" s="2" t="s">
        <v>50</v>
      </c>
      <c r="C22" s="2" t="s">
        <v>160</v>
      </c>
      <c r="E22" s="15"/>
      <c r="F22" s="15"/>
      <c r="G22" s="15"/>
      <c r="H22" s="15"/>
      <c r="I22" s="15"/>
      <c r="J22" s="15"/>
      <c r="K22" s="113"/>
      <c r="L22" s="113"/>
      <c r="M22" s="15"/>
      <c r="N22" s="15"/>
      <c r="O22" s="15"/>
      <c r="P22" s="15"/>
      <c r="Q22" s="15"/>
      <c r="R22" s="15"/>
    </row>
    <row r="23" spans="2:21" x14ac:dyDescent="0.25">
      <c r="B23" t="s">
        <v>119</v>
      </c>
      <c r="C23" t="s">
        <v>91</v>
      </c>
      <c r="D23" t="s">
        <v>76</v>
      </c>
      <c r="E23" s="15">
        <v>5350</v>
      </c>
      <c r="F23" s="29">
        <v>15</v>
      </c>
      <c r="G23" s="124">
        <v>892</v>
      </c>
      <c r="H23" s="15"/>
      <c r="I23" s="71">
        <v>0.85</v>
      </c>
      <c r="J23" s="15"/>
      <c r="K23" s="15">
        <f>E23-I23</f>
        <v>5349.15</v>
      </c>
      <c r="L23" s="15">
        <v>0</v>
      </c>
      <c r="M23" s="15">
        <v>453.47</v>
      </c>
      <c r="N23" s="15">
        <v>588.20000000000005</v>
      </c>
      <c r="O23" s="15">
        <v>0</v>
      </c>
      <c r="P23" s="20">
        <f>E23*0.115</f>
        <v>615.25</v>
      </c>
      <c r="Q23" s="15">
        <f>SUM(N23:P23)+G23</f>
        <v>2095.4499999999998</v>
      </c>
      <c r="R23" s="125">
        <f>K23-Q23</f>
        <v>3253.7</v>
      </c>
      <c r="S23" s="11">
        <v>256.68</v>
      </c>
      <c r="T23" s="11">
        <v>1070</v>
      </c>
      <c r="U23" s="35">
        <f>S23+T23</f>
        <v>1326.68</v>
      </c>
    </row>
    <row r="24" spans="2:21" x14ac:dyDescent="0.25">
      <c r="B24" t="s">
        <v>120</v>
      </c>
      <c r="C24" t="s">
        <v>93</v>
      </c>
      <c r="D24" t="s">
        <v>78</v>
      </c>
      <c r="E24" s="15">
        <v>5350</v>
      </c>
      <c r="F24" s="29">
        <v>15</v>
      </c>
      <c r="G24" s="124">
        <v>1115</v>
      </c>
      <c r="H24" s="15"/>
      <c r="I24" s="71"/>
      <c r="J24" s="15"/>
      <c r="K24" s="15">
        <f>E24-I24</f>
        <v>5350</v>
      </c>
      <c r="L24" s="15">
        <v>0</v>
      </c>
      <c r="M24" s="15">
        <v>588.20000000000005</v>
      </c>
      <c r="N24" s="15">
        <f>M24-L24</f>
        <v>588.20000000000005</v>
      </c>
      <c r="O24" s="15">
        <v>0</v>
      </c>
      <c r="P24" s="20">
        <f>E24*0.115</f>
        <v>615.25</v>
      </c>
      <c r="Q24" s="15">
        <f>SUM(N24:P24)+G24</f>
        <v>2318.4499999999998</v>
      </c>
      <c r="R24" s="125">
        <f>K24-Q24</f>
        <v>3031.55</v>
      </c>
      <c r="S24" s="11">
        <v>256.68</v>
      </c>
      <c r="T24" s="11">
        <v>1070</v>
      </c>
      <c r="U24" s="35">
        <f>S24+T24</f>
        <v>1326.68</v>
      </c>
    </row>
    <row r="25" spans="2:21" x14ac:dyDescent="0.25">
      <c r="B25" t="s">
        <v>121</v>
      </c>
      <c r="C25" t="s">
        <v>114</v>
      </c>
      <c r="D25" t="s">
        <v>186</v>
      </c>
      <c r="E25" s="15">
        <v>5350</v>
      </c>
      <c r="F25" s="29">
        <v>15</v>
      </c>
      <c r="G25" s="15"/>
      <c r="H25" s="15"/>
      <c r="I25" s="71"/>
      <c r="J25" s="15"/>
      <c r="K25" s="15">
        <f>E25-I25</f>
        <v>5350</v>
      </c>
      <c r="L25" s="15">
        <v>0</v>
      </c>
      <c r="M25" s="15">
        <v>588.20000000000005</v>
      </c>
      <c r="N25" s="15">
        <f>M25-L25</f>
        <v>588.20000000000005</v>
      </c>
      <c r="O25" s="15">
        <v>0</v>
      </c>
      <c r="P25" s="20">
        <f>E25*0.115</f>
        <v>615.25</v>
      </c>
      <c r="Q25" s="15">
        <f>SUM(N25:P25)+G25</f>
        <v>1203.45</v>
      </c>
      <c r="R25" s="125">
        <f>K25-Q25</f>
        <v>4146.55</v>
      </c>
      <c r="S25" s="11">
        <v>256.68</v>
      </c>
      <c r="T25" s="11">
        <v>1070</v>
      </c>
      <c r="U25" s="35">
        <f>S25+T25</f>
        <v>1326.68</v>
      </c>
    </row>
    <row r="26" spans="2:21" x14ac:dyDescent="0.25">
      <c r="B26" s="2" t="s">
        <v>26</v>
      </c>
      <c r="C26" s="30"/>
      <c r="D26" s="30"/>
      <c r="E26" s="34">
        <f>SUM(E23:E25)</f>
        <v>16050</v>
      </c>
      <c r="F26" s="34"/>
      <c r="G26" s="34">
        <f>+G25+G24+G23</f>
        <v>2007</v>
      </c>
      <c r="H26" s="34"/>
      <c r="I26" s="34">
        <f>SUM(I23:I25)</f>
        <v>0.85</v>
      </c>
      <c r="J26" s="34">
        <f>SUM(J23:J25)</f>
        <v>0</v>
      </c>
      <c r="K26" s="34">
        <f t="shared" ref="K26:U26" si="9">SUM(K23:K25)</f>
        <v>16049.15</v>
      </c>
      <c r="L26" s="34">
        <f t="shared" si="9"/>
        <v>0</v>
      </c>
      <c r="M26" s="34">
        <f t="shared" si="9"/>
        <v>1629.8700000000001</v>
      </c>
      <c r="N26" s="34">
        <f t="shared" si="9"/>
        <v>1764.6000000000001</v>
      </c>
      <c r="O26" s="34">
        <f t="shared" si="9"/>
        <v>0</v>
      </c>
      <c r="P26" s="34">
        <f>SUM(P23:P25)</f>
        <v>1845.75</v>
      </c>
      <c r="Q26" s="34">
        <f t="shared" si="9"/>
        <v>5617.3499999999995</v>
      </c>
      <c r="R26" s="34">
        <f t="shared" si="9"/>
        <v>10431.799999999999</v>
      </c>
      <c r="S26" s="34">
        <f t="shared" si="9"/>
        <v>770.04</v>
      </c>
      <c r="T26" s="34">
        <f t="shared" si="9"/>
        <v>3210</v>
      </c>
      <c r="U26" s="34">
        <f t="shared" si="9"/>
        <v>3980.04</v>
      </c>
    </row>
    <row r="27" spans="2:21" hidden="1" x14ac:dyDescent="0.25"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2:21" x14ac:dyDescent="0.25">
      <c r="B28" s="2" t="s">
        <v>63</v>
      </c>
      <c r="C28" s="2" t="s">
        <v>51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2:21" x14ac:dyDescent="0.25">
      <c r="B29" t="s">
        <v>122</v>
      </c>
      <c r="C29" t="s">
        <v>97</v>
      </c>
      <c r="D29" t="s">
        <v>80</v>
      </c>
      <c r="E29" s="15">
        <v>5350</v>
      </c>
      <c r="F29" s="29">
        <v>15</v>
      </c>
      <c r="G29" s="15"/>
      <c r="H29" s="15"/>
      <c r="I29" s="71"/>
      <c r="J29" s="15"/>
      <c r="K29" s="15">
        <f t="shared" ref="K29:K39" si="10">E29-I29</f>
        <v>5350</v>
      </c>
      <c r="L29" s="15">
        <v>0</v>
      </c>
      <c r="M29" s="15">
        <v>588.20000000000005</v>
      </c>
      <c r="N29" s="15">
        <f>M29-L29</f>
        <v>588.20000000000005</v>
      </c>
      <c r="O29" s="15">
        <v>0</v>
      </c>
      <c r="P29" s="20">
        <f>E29*0.115</f>
        <v>615.25</v>
      </c>
      <c r="Q29" s="15">
        <f t="shared" ref="Q29:Q39" si="11">SUM(N29:P29)+G29</f>
        <v>1203.45</v>
      </c>
      <c r="R29" s="125">
        <f t="shared" ref="R29:R39" si="12">K29-Q29</f>
        <v>4146.55</v>
      </c>
      <c r="S29" s="11">
        <v>256.68</v>
      </c>
      <c r="T29" s="11">
        <v>1070</v>
      </c>
      <c r="U29" s="35">
        <f t="shared" ref="U29:U39" si="13">S29+T29</f>
        <v>1326.68</v>
      </c>
    </row>
    <row r="30" spans="2:21" x14ac:dyDescent="0.25">
      <c r="B30" t="s">
        <v>123</v>
      </c>
      <c r="C30" t="s">
        <v>100</v>
      </c>
      <c r="D30" t="s">
        <v>80</v>
      </c>
      <c r="E30" s="15">
        <v>5350</v>
      </c>
      <c r="F30" s="29">
        <v>15</v>
      </c>
      <c r="G30" s="15"/>
      <c r="H30" s="15"/>
      <c r="I30" s="77"/>
      <c r="J30" s="20"/>
      <c r="K30" s="20">
        <f t="shared" si="10"/>
        <v>5350</v>
      </c>
      <c r="L30" s="20">
        <v>0</v>
      </c>
      <c r="M30" s="20">
        <v>587.48</v>
      </c>
      <c r="N30" s="20">
        <v>588.20000000000005</v>
      </c>
      <c r="O30" s="15">
        <v>0</v>
      </c>
      <c r="P30" s="20">
        <f t="shared" ref="P30:P39" si="14">E30*0.115</f>
        <v>615.25</v>
      </c>
      <c r="Q30" s="15">
        <f t="shared" si="11"/>
        <v>1203.45</v>
      </c>
      <c r="R30" s="125">
        <f t="shared" si="12"/>
        <v>4146.55</v>
      </c>
      <c r="S30" s="11">
        <v>256.68</v>
      </c>
      <c r="T30" s="11">
        <v>1070</v>
      </c>
      <c r="U30" s="35">
        <f t="shared" si="13"/>
        <v>1326.68</v>
      </c>
    </row>
    <row r="31" spans="2:21" x14ac:dyDescent="0.25">
      <c r="B31" t="s">
        <v>124</v>
      </c>
      <c r="C31" t="s">
        <v>96</v>
      </c>
      <c r="D31" t="s">
        <v>78</v>
      </c>
      <c r="E31" s="15">
        <v>5350</v>
      </c>
      <c r="F31" s="29">
        <v>15</v>
      </c>
      <c r="G31" s="15"/>
      <c r="H31" s="15"/>
      <c r="I31" s="20"/>
      <c r="J31" s="20"/>
      <c r="K31" s="20">
        <f t="shared" si="10"/>
        <v>5350</v>
      </c>
      <c r="L31" s="20">
        <v>0</v>
      </c>
      <c r="M31" s="20">
        <v>588.20000000000005</v>
      </c>
      <c r="N31" s="20">
        <f t="shared" ref="N31:N39" si="15">M31-L31</f>
        <v>588.20000000000005</v>
      </c>
      <c r="O31" s="15">
        <v>0</v>
      </c>
      <c r="P31" s="20">
        <f t="shared" si="14"/>
        <v>615.25</v>
      </c>
      <c r="Q31" s="15">
        <f t="shared" si="11"/>
        <v>1203.45</v>
      </c>
      <c r="R31" s="125">
        <f t="shared" si="12"/>
        <v>4146.55</v>
      </c>
      <c r="S31" s="11">
        <v>256.68</v>
      </c>
      <c r="T31" s="11">
        <v>1070</v>
      </c>
      <c r="U31" s="35">
        <f t="shared" si="13"/>
        <v>1326.68</v>
      </c>
    </row>
    <row r="32" spans="2:21" x14ac:dyDescent="0.25">
      <c r="B32" t="s">
        <v>125</v>
      </c>
      <c r="C32" t="s">
        <v>104</v>
      </c>
      <c r="D32" t="s">
        <v>78</v>
      </c>
      <c r="E32" s="15">
        <v>5350</v>
      </c>
      <c r="F32" s="29">
        <v>15</v>
      </c>
      <c r="G32" s="15"/>
      <c r="H32" s="15"/>
      <c r="I32" s="77"/>
      <c r="J32" s="20"/>
      <c r="K32" s="20">
        <f t="shared" si="10"/>
        <v>5350</v>
      </c>
      <c r="L32" s="20">
        <v>0</v>
      </c>
      <c r="M32" s="20">
        <v>588.20000000000005</v>
      </c>
      <c r="N32" s="20">
        <f t="shared" si="15"/>
        <v>588.20000000000005</v>
      </c>
      <c r="O32" s="15">
        <v>0</v>
      </c>
      <c r="P32" s="20">
        <f t="shared" si="14"/>
        <v>615.25</v>
      </c>
      <c r="Q32" s="15">
        <f t="shared" si="11"/>
        <v>1203.45</v>
      </c>
      <c r="R32" s="125">
        <f t="shared" si="12"/>
        <v>4146.55</v>
      </c>
      <c r="S32" s="11">
        <v>256.68</v>
      </c>
      <c r="T32" s="11">
        <v>1070</v>
      </c>
      <c r="U32" s="35">
        <f t="shared" si="13"/>
        <v>1326.68</v>
      </c>
    </row>
    <row r="33" spans="2:21" x14ac:dyDescent="0.25">
      <c r="B33" t="s">
        <v>126</v>
      </c>
      <c r="C33" t="s">
        <v>94</v>
      </c>
      <c r="D33" t="s">
        <v>81</v>
      </c>
      <c r="E33" s="15">
        <v>5350</v>
      </c>
      <c r="F33" s="29">
        <v>15</v>
      </c>
      <c r="G33" s="124">
        <v>595</v>
      </c>
      <c r="H33" s="15"/>
      <c r="I33" s="77"/>
      <c r="J33" s="20"/>
      <c r="K33" s="20">
        <f>E33-I33</f>
        <v>5350</v>
      </c>
      <c r="L33" s="20">
        <v>0</v>
      </c>
      <c r="M33" s="20">
        <v>517.23</v>
      </c>
      <c r="N33" s="20">
        <v>588.02</v>
      </c>
      <c r="O33" s="15">
        <v>0</v>
      </c>
      <c r="P33" s="20">
        <f t="shared" si="14"/>
        <v>615.25</v>
      </c>
      <c r="Q33" s="15">
        <f t="shared" si="11"/>
        <v>1798.27</v>
      </c>
      <c r="R33" s="125">
        <f>K33-Q33</f>
        <v>3551.73</v>
      </c>
      <c r="S33" s="11">
        <v>256.68</v>
      </c>
      <c r="T33" s="11">
        <v>1070</v>
      </c>
      <c r="U33" s="35">
        <f t="shared" si="13"/>
        <v>1326.68</v>
      </c>
    </row>
    <row r="34" spans="2:21" x14ac:dyDescent="0.25">
      <c r="B34" t="s">
        <v>127</v>
      </c>
      <c r="C34" t="s">
        <v>98</v>
      </c>
      <c r="D34" t="s">
        <v>81</v>
      </c>
      <c r="E34" s="15">
        <v>5350</v>
      </c>
      <c r="F34" s="29">
        <v>14</v>
      </c>
      <c r="G34" s="15"/>
      <c r="H34" s="20"/>
      <c r="I34" s="77">
        <v>356.67</v>
      </c>
      <c r="J34" s="20"/>
      <c r="K34" s="20">
        <f>E34-I34</f>
        <v>4993.33</v>
      </c>
      <c r="L34" s="20">
        <v>0</v>
      </c>
      <c r="M34" s="20">
        <v>588.20000000000005</v>
      </c>
      <c r="N34" s="20">
        <f t="shared" si="15"/>
        <v>588.20000000000005</v>
      </c>
      <c r="O34" s="15">
        <v>0</v>
      </c>
      <c r="P34" s="20">
        <f>E34*0.115</f>
        <v>615.25</v>
      </c>
      <c r="Q34" s="15">
        <f>SUM(N34:P34)+G34</f>
        <v>1203.45</v>
      </c>
      <c r="R34" s="125">
        <f>K34-Q34</f>
        <v>3789.88</v>
      </c>
      <c r="S34" s="11">
        <v>256.68</v>
      </c>
      <c r="T34" s="11">
        <v>1070</v>
      </c>
      <c r="U34" s="35">
        <f t="shared" si="13"/>
        <v>1326.68</v>
      </c>
    </row>
    <row r="35" spans="2:21" x14ac:dyDescent="0.25">
      <c r="B35" t="s">
        <v>128</v>
      </c>
      <c r="C35" t="s">
        <v>101</v>
      </c>
      <c r="D35" t="s">
        <v>81</v>
      </c>
      <c r="E35" s="15">
        <v>5350</v>
      </c>
      <c r="F35" s="29">
        <v>15</v>
      </c>
      <c r="G35" s="15"/>
      <c r="H35" s="15"/>
      <c r="I35" s="71"/>
      <c r="J35" s="20"/>
      <c r="K35" s="20">
        <f>E35-I35</f>
        <v>5350</v>
      </c>
      <c r="L35" s="20">
        <v>0</v>
      </c>
      <c r="M35" s="15">
        <v>588.20000000000005</v>
      </c>
      <c r="N35" s="15">
        <f>M35-L35</f>
        <v>588.20000000000005</v>
      </c>
      <c r="O35" s="15">
        <v>0</v>
      </c>
      <c r="P35" s="20">
        <f t="shared" si="14"/>
        <v>615.25</v>
      </c>
      <c r="Q35" s="15">
        <f>SUM(N35:P35)+G35</f>
        <v>1203.45</v>
      </c>
      <c r="R35" s="125">
        <f>K35-Q35</f>
        <v>4146.55</v>
      </c>
      <c r="S35" s="11">
        <v>256.68</v>
      </c>
      <c r="T35" s="11">
        <v>1070</v>
      </c>
      <c r="U35" s="35">
        <f t="shared" si="13"/>
        <v>1326.68</v>
      </c>
    </row>
    <row r="36" spans="2:21" x14ac:dyDescent="0.25">
      <c r="B36" t="s">
        <v>129</v>
      </c>
      <c r="C36" t="s">
        <v>95</v>
      </c>
      <c r="D36" t="s">
        <v>82</v>
      </c>
      <c r="E36" s="15">
        <v>5350</v>
      </c>
      <c r="F36" s="29">
        <v>15</v>
      </c>
      <c r="G36" s="124">
        <v>1190</v>
      </c>
      <c r="H36" s="15"/>
      <c r="I36" s="15"/>
      <c r="J36" s="15"/>
      <c r="K36" s="15">
        <f t="shared" si="10"/>
        <v>5350</v>
      </c>
      <c r="L36" s="15">
        <v>0</v>
      </c>
      <c r="M36" s="15">
        <v>588.20000000000005</v>
      </c>
      <c r="N36" s="15">
        <f t="shared" si="15"/>
        <v>588.20000000000005</v>
      </c>
      <c r="O36" s="15">
        <v>0</v>
      </c>
      <c r="P36" s="20">
        <f t="shared" si="14"/>
        <v>615.25</v>
      </c>
      <c r="Q36" s="15">
        <f t="shared" si="11"/>
        <v>2393.4499999999998</v>
      </c>
      <c r="R36" s="125">
        <f t="shared" si="12"/>
        <v>2956.55</v>
      </c>
      <c r="S36" s="11">
        <v>256.68</v>
      </c>
      <c r="T36" s="11">
        <v>1070</v>
      </c>
      <c r="U36" s="35">
        <f t="shared" si="13"/>
        <v>1326.68</v>
      </c>
    </row>
    <row r="37" spans="2:21" x14ac:dyDescent="0.25">
      <c r="B37" t="s">
        <v>130</v>
      </c>
      <c r="C37" t="s">
        <v>102</v>
      </c>
      <c r="D37" t="s">
        <v>82</v>
      </c>
      <c r="E37" s="15">
        <v>5350</v>
      </c>
      <c r="F37" s="29">
        <v>15</v>
      </c>
      <c r="G37" s="124">
        <v>927.62</v>
      </c>
      <c r="H37" s="15"/>
      <c r="I37" s="15"/>
      <c r="J37" s="15"/>
      <c r="K37" s="15">
        <f t="shared" si="10"/>
        <v>5350</v>
      </c>
      <c r="L37" s="15">
        <v>0</v>
      </c>
      <c r="M37" s="15">
        <v>586.03</v>
      </c>
      <c r="N37" s="15">
        <v>588.20000000000005</v>
      </c>
      <c r="O37" s="15">
        <v>0</v>
      </c>
      <c r="P37" s="20">
        <f t="shared" si="14"/>
        <v>615.25</v>
      </c>
      <c r="Q37" s="15">
        <f>SUM(N37:P37)+G37</f>
        <v>2131.0700000000002</v>
      </c>
      <c r="R37" s="125">
        <f t="shared" si="12"/>
        <v>3218.93</v>
      </c>
      <c r="S37" s="11">
        <v>256.68</v>
      </c>
      <c r="T37" s="11">
        <v>1070</v>
      </c>
      <c r="U37" s="35">
        <f t="shared" si="13"/>
        <v>1326.68</v>
      </c>
    </row>
    <row r="38" spans="2:21" x14ac:dyDescent="0.25">
      <c r="B38" t="s">
        <v>131</v>
      </c>
      <c r="C38" t="s">
        <v>85</v>
      </c>
      <c r="D38" t="s">
        <v>83</v>
      </c>
      <c r="E38" s="15">
        <v>5350</v>
      </c>
      <c r="F38" s="29">
        <v>15</v>
      </c>
      <c r="G38" s="124">
        <v>1784</v>
      </c>
      <c r="H38" s="15"/>
      <c r="I38" s="15"/>
      <c r="J38" s="15"/>
      <c r="K38" s="15">
        <f t="shared" si="10"/>
        <v>5350</v>
      </c>
      <c r="L38" s="15">
        <v>0</v>
      </c>
      <c r="M38" s="15">
        <v>588.20000000000005</v>
      </c>
      <c r="N38" s="15">
        <f t="shared" si="15"/>
        <v>588.20000000000005</v>
      </c>
      <c r="O38" s="15">
        <v>0</v>
      </c>
      <c r="P38" s="20">
        <f t="shared" si="14"/>
        <v>615.25</v>
      </c>
      <c r="Q38" s="15">
        <f t="shared" si="11"/>
        <v>2987.45</v>
      </c>
      <c r="R38" s="125">
        <f t="shared" si="12"/>
        <v>2362.5500000000002</v>
      </c>
      <c r="S38" s="11">
        <v>256.68</v>
      </c>
      <c r="T38" s="11">
        <v>1070</v>
      </c>
      <c r="U38" s="35">
        <f t="shared" si="13"/>
        <v>1326.68</v>
      </c>
    </row>
    <row r="39" spans="2:21" x14ac:dyDescent="0.25">
      <c r="B39" t="s">
        <v>132</v>
      </c>
      <c r="C39" t="s">
        <v>103</v>
      </c>
      <c r="D39" t="s">
        <v>83</v>
      </c>
      <c r="E39" s="15">
        <v>5350</v>
      </c>
      <c r="F39" s="29">
        <v>15</v>
      </c>
      <c r="G39" s="124">
        <v>1900</v>
      </c>
      <c r="H39" s="15"/>
      <c r="I39" s="71"/>
      <c r="J39" s="15"/>
      <c r="K39" s="15">
        <f t="shared" si="10"/>
        <v>5350</v>
      </c>
      <c r="L39" s="15">
        <v>0</v>
      </c>
      <c r="M39" s="15">
        <v>588.20000000000005</v>
      </c>
      <c r="N39" s="15">
        <f t="shared" si="15"/>
        <v>588.20000000000005</v>
      </c>
      <c r="O39" s="15">
        <v>0</v>
      </c>
      <c r="P39" s="20">
        <f t="shared" si="14"/>
        <v>615.25</v>
      </c>
      <c r="Q39" s="15">
        <f t="shared" si="11"/>
        <v>3103.45</v>
      </c>
      <c r="R39" s="125">
        <f t="shared" si="12"/>
        <v>2246.5500000000002</v>
      </c>
      <c r="S39" s="11">
        <v>256.68</v>
      </c>
      <c r="T39" s="11">
        <v>1070</v>
      </c>
      <c r="U39" s="35">
        <f t="shared" si="13"/>
        <v>1326.68</v>
      </c>
    </row>
    <row r="40" spans="2:21" x14ac:dyDescent="0.25">
      <c r="B40" s="2" t="s">
        <v>26</v>
      </c>
      <c r="C40" s="30"/>
      <c r="D40" s="30"/>
      <c r="E40" s="34">
        <f>SUM(E29:E39)</f>
        <v>58850</v>
      </c>
      <c r="F40" s="34"/>
      <c r="G40" s="34">
        <f>+G39+G38+G37+G36+G35+G34+G33</f>
        <v>6396.62</v>
      </c>
      <c r="H40" s="34"/>
      <c r="I40" s="34">
        <f>SUM(I29:I39)</f>
        <v>356.67</v>
      </c>
      <c r="J40" s="34">
        <f>SUM(J29:J39)</f>
        <v>0</v>
      </c>
      <c r="K40" s="34">
        <f>SUM(K29:K39)</f>
        <v>58493.33</v>
      </c>
      <c r="L40" s="34">
        <f t="shared" ref="L40:U40" si="16">SUM(L29:L39)</f>
        <v>0</v>
      </c>
      <c r="M40" s="34">
        <f t="shared" si="16"/>
        <v>6396.3399999999992</v>
      </c>
      <c r="N40" s="34">
        <f t="shared" si="16"/>
        <v>6470.0199999999995</v>
      </c>
      <c r="O40" s="34">
        <f t="shared" si="16"/>
        <v>0</v>
      </c>
      <c r="P40" s="34">
        <f>SUM(P29:P39)</f>
        <v>6767.75</v>
      </c>
      <c r="Q40" s="34">
        <f t="shared" si="16"/>
        <v>19634.39</v>
      </c>
      <c r="R40" s="34">
        <f t="shared" si="16"/>
        <v>38858.94</v>
      </c>
      <c r="S40" s="34">
        <f t="shared" si="16"/>
        <v>2823.4799999999996</v>
      </c>
      <c r="T40" s="34">
        <f t="shared" si="16"/>
        <v>11770</v>
      </c>
      <c r="U40" s="34">
        <f t="shared" si="16"/>
        <v>14593.480000000001</v>
      </c>
    </row>
    <row r="41" spans="2:21" hidden="1" x14ac:dyDescent="0.25"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2:21" x14ac:dyDescent="0.25">
      <c r="B42" s="2" t="s">
        <v>140</v>
      </c>
      <c r="C42" s="2" t="s">
        <v>64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2:21" x14ac:dyDescent="0.25">
      <c r="B43" t="s">
        <v>133</v>
      </c>
      <c r="C43" t="s">
        <v>99</v>
      </c>
      <c r="D43" t="s">
        <v>80</v>
      </c>
      <c r="E43" s="15">
        <v>5350</v>
      </c>
      <c r="F43" s="29">
        <v>15</v>
      </c>
      <c r="G43" s="15"/>
      <c r="H43" s="15"/>
      <c r="I43" s="77"/>
      <c r="J43" s="20"/>
      <c r="K43" s="20">
        <f>E43-I43</f>
        <v>5350</v>
      </c>
      <c r="L43" s="20">
        <v>0</v>
      </c>
      <c r="M43" s="20">
        <v>586.21</v>
      </c>
      <c r="N43" s="20">
        <v>588.20000000000005</v>
      </c>
      <c r="O43" s="15">
        <v>0</v>
      </c>
      <c r="P43" s="15">
        <f t="shared" ref="P43" si="17">E43*0.115</f>
        <v>615.25</v>
      </c>
      <c r="Q43" s="15">
        <f>SUM(N43:P43)+G43</f>
        <v>1203.45</v>
      </c>
      <c r="R43" s="125">
        <f>K43-Q43</f>
        <v>4146.55</v>
      </c>
      <c r="S43" s="11">
        <v>256.68</v>
      </c>
      <c r="T43" s="11">
        <v>1070</v>
      </c>
      <c r="U43" s="35">
        <f t="shared" ref="U43:U44" si="18">S43+T43</f>
        <v>1326.68</v>
      </c>
    </row>
    <row r="44" spans="2:21" x14ac:dyDescent="0.25">
      <c r="B44" t="s">
        <v>152</v>
      </c>
      <c r="C44" t="s">
        <v>92</v>
      </c>
      <c r="D44" t="s">
        <v>80</v>
      </c>
      <c r="E44" s="15">
        <v>5350</v>
      </c>
      <c r="F44" s="29">
        <v>15</v>
      </c>
      <c r="G44" s="15"/>
      <c r="H44" s="15"/>
      <c r="I44" s="15"/>
      <c r="J44" s="15"/>
      <c r="K44" s="15">
        <f>E44-I44</f>
        <v>5350</v>
      </c>
      <c r="L44" s="15">
        <v>0</v>
      </c>
      <c r="M44" s="15">
        <v>588.20000000000005</v>
      </c>
      <c r="N44" s="15">
        <v>588.20000000000005</v>
      </c>
      <c r="O44" s="15">
        <v>0</v>
      </c>
      <c r="P44" s="15">
        <f>K44*0.115</f>
        <v>615.25</v>
      </c>
      <c r="Q44" s="15">
        <f>SUM(N44:P44)+G44</f>
        <v>1203.45</v>
      </c>
      <c r="R44" s="125">
        <f>K44-Q44</f>
        <v>4146.55</v>
      </c>
      <c r="S44" s="11">
        <v>256.68</v>
      </c>
      <c r="T44" s="11">
        <v>1070</v>
      </c>
      <c r="U44" s="35">
        <f t="shared" si="18"/>
        <v>1326.68</v>
      </c>
    </row>
    <row r="45" spans="2:21" x14ac:dyDescent="0.25">
      <c r="B45" s="2" t="s">
        <v>26</v>
      </c>
      <c r="C45" s="30"/>
      <c r="D45" s="30"/>
      <c r="E45" s="34">
        <f>E43+E44</f>
        <v>10700</v>
      </c>
      <c r="F45" s="34"/>
      <c r="G45" s="34">
        <f>+G44+G43</f>
        <v>0</v>
      </c>
      <c r="H45" s="34"/>
      <c r="I45" s="34">
        <f>I43+I44</f>
        <v>0</v>
      </c>
      <c r="J45" s="34">
        <f>J43+J44</f>
        <v>0</v>
      </c>
      <c r="K45" s="34">
        <f t="shared" ref="K45:U45" si="19">K43+K44</f>
        <v>10700</v>
      </c>
      <c r="L45" s="34">
        <f t="shared" si="19"/>
        <v>0</v>
      </c>
      <c r="M45" s="34">
        <f t="shared" si="19"/>
        <v>1174.4100000000001</v>
      </c>
      <c r="N45" s="34">
        <f t="shared" si="19"/>
        <v>1176.4000000000001</v>
      </c>
      <c r="O45" s="34">
        <f t="shared" si="19"/>
        <v>0</v>
      </c>
      <c r="P45" s="34">
        <f>P43+P44</f>
        <v>1230.5</v>
      </c>
      <c r="Q45" s="34">
        <f t="shared" si="19"/>
        <v>2406.9</v>
      </c>
      <c r="R45" s="34">
        <f t="shared" si="19"/>
        <v>8293.1</v>
      </c>
      <c r="S45" s="34">
        <f t="shared" si="19"/>
        <v>513.36</v>
      </c>
      <c r="T45" s="34">
        <f t="shared" si="19"/>
        <v>2140</v>
      </c>
      <c r="U45" s="34">
        <f t="shared" si="19"/>
        <v>2653.36</v>
      </c>
    </row>
    <row r="46" spans="2:21" hidden="1" x14ac:dyDescent="0.25">
      <c r="B46" s="2"/>
      <c r="E46" s="15"/>
      <c r="F46" s="15"/>
      <c r="G46" s="15"/>
      <c r="H46" s="15"/>
      <c r="I46" s="15"/>
      <c r="J46" s="15"/>
      <c r="K46" s="16"/>
      <c r="L46" s="16"/>
      <c r="M46" s="16"/>
      <c r="N46" s="16"/>
      <c r="O46" s="16"/>
      <c r="P46" s="16"/>
      <c r="Q46" s="16"/>
      <c r="R46" s="16"/>
      <c r="S46" s="8"/>
      <c r="T46" s="8"/>
      <c r="U46" s="8"/>
    </row>
    <row r="47" spans="2:21" x14ac:dyDescent="0.25">
      <c r="B47" s="2" t="s">
        <v>161</v>
      </c>
      <c r="C47" s="2" t="s">
        <v>162</v>
      </c>
      <c r="E47" s="15"/>
      <c r="F47" s="15"/>
      <c r="G47" s="15"/>
      <c r="H47" s="15"/>
      <c r="I47" s="15"/>
      <c r="J47" s="15"/>
      <c r="K47" s="16"/>
      <c r="L47" s="16"/>
      <c r="M47" s="16"/>
      <c r="N47" s="16"/>
      <c r="O47" s="16"/>
      <c r="P47" s="16"/>
      <c r="Q47" s="16"/>
      <c r="R47" s="16"/>
      <c r="S47" s="8"/>
      <c r="T47" s="8"/>
      <c r="U47" s="8"/>
    </row>
    <row r="48" spans="2:21" x14ac:dyDescent="0.25">
      <c r="B48" t="s">
        <v>163</v>
      </c>
      <c r="C48" s="11" t="s">
        <v>42</v>
      </c>
      <c r="D48" t="s">
        <v>2</v>
      </c>
      <c r="E48" s="15">
        <v>10000</v>
      </c>
      <c r="F48" s="29">
        <v>15</v>
      </c>
      <c r="G48" s="15"/>
      <c r="H48" s="15"/>
      <c r="I48" s="15"/>
      <c r="J48" s="15"/>
      <c r="K48" s="15">
        <f>E48-I48</f>
        <v>10000</v>
      </c>
      <c r="L48" s="15">
        <v>0</v>
      </c>
      <c r="M48" s="15">
        <v>1581.44</v>
      </c>
      <c r="N48" s="15">
        <f>M48-L48</f>
        <v>1581.44</v>
      </c>
      <c r="O48" s="15">
        <v>0</v>
      </c>
      <c r="P48" s="15">
        <f>E48*0.115</f>
        <v>1150</v>
      </c>
      <c r="Q48" s="15">
        <f>SUM(N48:P48)+G48</f>
        <v>2731.44</v>
      </c>
      <c r="R48" s="125">
        <f>K48-Q48</f>
        <v>7268.5599999999995</v>
      </c>
      <c r="S48" s="11">
        <v>285.52999999999997</v>
      </c>
      <c r="T48" s="11">
        <v>2000</v>
      </c>
      <c r="U48" s="35">
        <f>S48+T48</f>
        <v>2285.5299999999997</v>
      </c>
    </row>
    <row r="49" spans="2:21" x14ac:dyDescent="0.25">
      <c r="B49" s="2" t="s">
        <v>26</v>
      </c>
      <c r="E49" s="34">
        <f>E48</f>
        <v>10000</v>
      </c>
      <c r="F49" s="34"/>
      <c r="G49" s="34">
        <f>+G48</f>
        <v>0</v>
      </c>
      <c r="H49" s="34"/>
      <c r="I49" s="34">
        <f>I48</f>
        <v>0</v>
      </c>
      <c r="J49" s="34">
        <f>J48</f>
        <v>0</v>
      </c>
      <c r="K49" s="34">
        <f t="shared" ref="K49:U49" si="20">K48</f>
        <v>10000</v>
      </c>
      <c r="L49" s="34">
        <f t="shared" si="20"/>
        <v>0</v>
      </c>
      <c r="M49" s="34">
        <f t="shared" si="20"/>
        <v>1581.44</v>
      </c>
      <c r="N49" s="34">
        <f t="shared" si="20"/>
        <v>1581.44</v>
      </c>
      <c r="O49" s="34">
        <f t="shared" si="20"/>
        <v>0</v>
      </c>
      <c r="P49" s="34">
        <f>P48</f>
        <v>1150</v>
      </c>
      <c r="Q49" s="34">
        <f t="shared" si="20"/>
        <v>2731.44</v>
      </c>
      <c r="R49" s="34">
        <f t="shared" si="20"/>
        <v>7268.5599999999995</v>
      </c>
      <c r="S49" s="34">
        <f t="shared" si="20"/>
        <v>285.52999999999997</v>
      </c>
      <c r="T49" s="34">
        <f t="shared" si="20"/>
        <v>2000</v>
      </c>
      <c r="U49" s="34">
        <f t="shared" si="20"/>
        <v>2285.5299999999997</v>
      </c>
    </row>
    <row r="50" spans="2:21" ht="12" customHeight="1" x14ac:dyDescent="0.25">
      <c r="B50" s="2"/>
      <c r="E50" s="15"/>
      <c r="F50" s="15"/>
      <c r="G50" s="15"/>
      <c r="H50" s="15"/>
      <c r="I50" s="15"/>
      <c r="J50" s="15"/>
      <c r="K50" s="16"/>
      <c r="L50" s="16"/>
      <c r="M50" s="16"/>
      <c r="N50" s="16"/>
      <c r="O50" s="16"/>
      <c r="P50" s="16"/>
      <c r="Q50" s="16"/>
      <c r="R50" s="16"/>
      <c r="S50" s="8"/>
      <c r="T50" s="8"/>
      <c r="U50" s="8"/>
    </row>
    <row r="51" spans="2:21" hidden="1" x14ac:dyDescent="0.25"/>
    <row r="52" spans="2:21" ht="18.75" x14ac:dyDescent="0.3">
      <c r="C52" s="53" t="s">
        <v>105</v>
      </c>
      <c r="E52" s="17">
        <f>E9+E20+E26+E40+E45+E49</f>
        <v>158954.95000000001</v>
      </c>
      <c r="F52" s="17"/>
      <c r="G52" s="17">
        <f>G9+G20+G26+G40+G45+G49</f>
        <v>17581.62</v>
      </c>
      <c r="H52" s="17"/>
      <c r="I52" s="17">
        <f>I9+I20+I26+I40+I45+I49</f>
        <v>357.52000000000004</v>
      </c>
      <c r="J52" s="17">
        <f t="shared" ref="J52:U52" si="21">J9+J20+J26+J40+J45+J49</f>
        <v>0</v>
      </c>
      <c r="K52" s="17">
        <f>K9+K20+K26+K40+K45+K49</f>
        <v>158597.43</v>
      </c>
      <c r="L52" s="17">
        <f t="shared" si="21"/>
        <v>274.08999999999997</v>
      </c>
      <c r="M52" s="17">
        <f t="shared" si="21"/>
        <v>19286.219999999998</v>
      </c>
      <c r="N52" s="17">
        <f t="shared" si="21"/>
        <v>19225.43</v>
      </c>
      <c r="O52" s="17">
        <f t="shared" si="21"/>
        <v>0</v>
      </c>
      <c r="P52" s="17">
        <f>P9+P20+P26+P40+P45+P49</f>
        <v>17664.56925</v>
      </c>
      <c r="Q52" s="17">
        <f t="shared" si="21"/>
        <v>54471.619250000003</v>
      </c>
      <c r="R52" s="54">
        <f>R9+R20+R26+R40+R45+R49</f>
        <v>104125.81075</v>
      </c>
      <c r="S52" s="17">
        <f>S9+S20+S26+S40+S45+S49</f>
        <v>7020.3799999999992</v>
      </c>
      <c r="T52" s="17">
        <f>T9+T20+T26+T40+T45+T49</f>
        <v>30720.989999999998</v>
      </c>
      <c r="U52" s="55">
        <f t="shared" si="21"/>
        <v>37741.370000000003</v>
      </c>
    </row>
    <row r="55" spans="2:21" ht="15.75" thickBot="1" x14ac:dyDescent="0.3">
      <c r="E55" s="375"/>
      <c r="F55" s="375"/>
      <c r="G55" s="111"/>
      <c r="H55" s="111"/>
      <c r="P55" s="376"/>
      <c r="Q55" s="376"/>
    </row>
    <row r="56" spans="2:21" x14ac:dyDescent="0.25">
      <c r="E56" s="377" t="s">
        <v>177</v>
      </c>
      <c r="F56" s="377"/>
      <c r="G56" s="112"/>
      <c r="H56" s="112"/>
      <c r="P56" s="26"/>
      <c r="Q56" s="26"/>
      <c r="R56" s="378" t="s">
        <v>157</v>
      </c>
      <c r="S56" s="378"/>
    </row>
    <row r="60" spans="2:21" x14ac:dyDescent="0.25">
      <c r="C60" t="s">
        <v>174</v>
      </c>
    </row>
  </sheetData>
  <mergeCells count="5">
    <mergeCell ref="B4:U4"/>
    <mergeCell ref="E55:F55"/>
    <mergeCell ref="P55:Q55"/>
    <mergeCell ref="E56:F56"/>
    <mergeCell ref="R56:S56"/>
  </mergeCells>
  <pageMargins left="0.51181102362204722" right="0.51181102362204722" top="0.15748031496062992" bottom="0.35433070866141736" header="0.31496062992125984" footer="0.31496062992125984"/>
  <pageSetup paperSize="9" scale="4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Q61"/>
  <sheetViews>
    <sheetView workbookViewId="0">
      <pane xSplit="4" ySplit="3" topLeftCell="E4" activePane="bottomRight" state="frozen"/>
      <selection activeCell="G53" sqref="G53"/>
      <selection pane="topRight" activeCell="G53" sqref="G53"/>
      <selection pane="bottomLeft" activeCell="G53" sqref="G53"/>
      <selection pane="bottomRight" activeCell="E58" sqref="E58"/>
    </sheetView>
  </sheetViews>
  <sheetFormatPr baseColWidth="10" defaultRowHeight="15" x14ac:dyDescent="0.25"/>
  <cols>
    <col min="1" max="1" width="0" hidden="1" customWidth="1"/>
    <col min="3" max="3" width="33.42578125" customWidth="1"/>
    <col min="4" max="4" width="27" customWidth="1"/>
    <col min="5" max="5" width="17.42578125" customWidth="1"/>
    <col min="6" max="6" width="17.28515625" customWidth="1"/>
    <col min="8" max="8" width="16.28515625" customWidth="1"/>
    <col min="9" max="9" width="15.28515625" customWidth="1"/>
    <col min="12" max="12" width="16" customWidth="1"/>
    <col min="13" max="13" width="17.42578125" customWidth="1"/>
    <col min="14" max="14" width="20.140625" customWidth="1"/>
    <col min="15" max="15" width="16.5703125" customWidth="1"/>
    <col min="16" max="16" width="15.85546875" customWidth="1"/>
    <col min="17" max="17" width="19.28515625" customWidth="1"/>
  </cols>
  <sheetData>
    <row r="1" spans="1:17" ht="18.75" x14ac:dyDescent="0.25">
      <c r="C1" s="6" t="s">
        <v>110</v>
      </c>
    </row>
    <row r="2" spans="1:17" ht="15.75" thickBot="1" x14ac:dyDescent="0.3">
      <c r="E2" s="367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9"/>
    </row>
    <row r="3" spans="1:17" ht="35.25" thickTop="1" thickBot="1" x14ac:dyDescent="0.3">
      <c r="B3" s="47" t="s">
        <v>9</v>
      </c>
      <c r="C3" s="48" t="s">
        <v>10</v>
      </c>
      <c r="D3" s="48" t="s">
        <v>0</v>
      </c>
      <c r="E3" s="48" t="s">
        <v>11</v>
      </c>
      <c r="F3" s="48" t="s">
        <v>12</v>
      </c>
      <c r="G3" s="48" t="s">
        <v>107</v>
      </c>
      <c r="H3" s="48" t="s">
        <v>13</v>
      </c>
      <c r="I3" s="48" t="s">
        <v>14</v>
      </c>
      <c r="J3" s="48" t="s">
        <v>15</v>
      </c>
      <c r="K3" s="48" t="s">
        <v>106</v>
      </c>
      <c r="L3" s="48" t="s">
        <v>16</v>
      </c>
      <c r="M3" s="48" t="s">
        <v>17</v>
      </c>
      <c r="N3" s="48" t="s">
        <v>72</v>
      </c>
      <c r="O3" s="48" t="s">
        <v>8</v>
      </c>
      <c r="P3" s="48" t="s">
        <v>18</v>
      </c>
      <c r="Q3" s="48" t="s">
        <v>73</v>
      </c>
    </row>
    <row r="4" spans="1:17" ht="15.75" thickTop="1" x14ac:dyDescent="0.25">
      <c r="B4" s="2" t="s">
        <v>19</v>
      </c>
      <c r="C4" s="2" t="s">
        <v>20</v>
      </c>
      <c r="D4" s="2"/>
    </row>
    <row r="5" spans="1:17" x14ac:dyDescent="0.25">
      <c r="B5" t="s">
        <v>21</v>
      </c>
      <c r="C5" t="s">
        <v>22</v>
      </c>
      <c r="D5" t="s">
        <v>25</v>
      </c>
      <c r="E5">
        <v>16954.95</v>
      </c>
      <c r="F5">
        <f>E5</f>
        <v>16954.95</v>
      </c>
      <c r="G5" s="15">
        <v>0</v>
      </c>
      <c r="H5">
        <v>3246.93</v>
      </c>
      <c r="I5">
        <v>188.65</v>
      </c>
      <c r="J5" s="15">
        <v>0</v>
      </c>
      <c r="K5" s="15">
        <v>0</v>
      </c>
      <c r="L5" s="15">
        <v>0</v>
      </c>
      <c r="M5">
        <f>SUM(G5:L5)</f>
        <v>3435.58</v>
      </c>
      <c r="N5" s="5">
        <f>F5-M5</f>
        <v>13519.37</v>
      </c>
      <c r="O5" s="10">
        <v>1223.77</v>
      </c>
      <c r="P5" s="10">
        <v>2797.56</v>
      </c>
      <c r="Q5" s="35">
        <f>SUM(O5:P5)</f>
        <v>4021.33</v>
      </c>
    </row>
    <row r="6" spans="1:17" x14ac:dyDescent="0.25">
      <c r="B6" t="s">
        <v>23</v>
      </c>
      <c r="C6" t="s">
        <v>24</v>
      </c>
      <c r="D6" t="s">
        <v>3</v>
      </c>
      <c r="E6">
        <v>4850</v>
      </c>
      <c r="F6">
        <f t="shared" ref="F6" si="0">E6</f>
        <v>4850</v>
      </c>
      <c r="G6" s="15">
        <v>0</v>
      </c>
      <c r="H6">
        <v>491.69</v>
      </c>
      <c r="I6">
        <v>44.835000000000001</v>
      </c>
      <c r="J6" s="15">
        <v>0</v>
      </c>
      <c r="K6" s="15">
        <v>0</v>
      </c>
      <c r="L6" s="15">
        <v>0</v>
      </c>
      <c r="M6">
        <f>SUM(G6:L6)</f>
        <v>536.52499999999998</v>
      </c>
      <c r="N6" s="12">
        <f t="shared" ref="N6:N18" si="1">F6-M6</f>
        <v>4313.4750000000004</v>
      </c>
      <c r="O6" s="10">
        <v>480.14</v>
      </c>
      <c r="P6" s="10">
        <v>800.25</v>
      </c>
      <c r="Q6" s="35">
        <f t="shared" ref="Q6:Q7" si="2">SUM(O6:P6)</f>
        <v>1280.3899999999999</v>
      </c>
    </row>
    <row r="7" spans="1:17" x14ac:dyDescent="0.25">
      <c r="B7" t="s">
        <v>41</v>
      </c>
      <c r="C7" t="s">
        <v>42</v>
      </c>
      <c r="D7" t="s">
        <v>2</v>
      </c>
      <c r="E7" s="3">
        <v>10000</v>
      </c>
      <c r="F7" s="3">
        <f t="shared" ref="F7:F14" si="3">E7</f>
        <v>10000</v>
      </c>
      <c r="G7" s="15">
        <v>0</v>
      </c>
      <c r="H7">
        <v>1581.44</v>
      </c>
      <c r="I7">
        <v>106.02</v>
      </c>
      <c r="J7" s="15">
        <v>0</v>
      </c>
      <c r="K7" s="15">
        <v>0</v>
      </c>
      <c r="L7" s="15">
        <v>0</v>
      </c>
      <c r="M7">
        <f>SUM(G7:L7)</f>
        <v>1687.46</v>
      </c>
      <c r="N7" s="5">
        <f t="shared" si="1"/>
        <v>8312.5400000000009</v>
      </c>
      <c r="O7" s="10">
        <v>796.52</v>
      </c>
      <c r="P7" s="10">
        <v>1650</v>
      </c>
      <c r="Q7" s="35">
        <f t="shared" si="2"/>
        <v>2446.52</v>
      </c>
    </row>
    <row r="8" spans="1:17" x14ac:dyDescent="0.25">
      <c r="A8" t="s">
        <v>135</v>
      </c>
      <c r="B8" s="7" t="s">
        <v>26</v>
      </c>
      <c r="E8" s="34">
        <f>SUM(E5:E7)</f>
        <v>31804.95</v>
      </c>
      <c r="F8" s="34">
        <f t="shared" ref="F8:Q8" si="4">SUM(F5:F7)</f>
        <v>31804.95</v>
      </c>
      <c r="G8" s="34">
        <f t="shared" si="4"/>
        <v>0</v>
      </c>
      <c r="H8" s="34">
        <f t="shared" si="4"/>
        <v>5320.0599999999995</v>
      </c>
      <c r="I8" s="34">
        <f t="shared" si="4"/>
        <v>339.505</v>
      </c>
      <c r="J8" s="34">
        <f t="shared" si="4"/>
        <v>0</v>
      </c>
      <c r="K8" s="34">
        <f t="shared" si="4"/>
        <v>0</v>
      </c>
      <c r="L8" s="34">
        <f t="shared" si="4"/>
        <v>0</v>
      </c>
      <c r="M8" s="34">
        <f t="shared" si="4"/>
        <v>5659.5650000000005</v>
      </c>
      <c r="N8" s="34">
        <f t="shared" si="4"/>
        <v>26145.385000000002</v>
      </c>
      <c r="O8" s="34">
        <f t="shared" si="4"/>
        <v>2500.4299999999998</v>
      </c>
      <c r="P8" s="34">
        <f t="shared" si="4"/>
        <v>5247.8099999999995</v>
      </c>
      <c r="Q8" s="34">
        <f t="shared" si="4"/>
        <v>7748.24</v>
      </c>
    </row>
    <row r="10" spans="1:17" x14ac:dyDescent="0.25">
      <c r="B10" s="2" t="s">
        <v>27</v>
      </c>
      <c r="C10" s="2" t="s">
        <v>28</v>
      </c>
    </row>
    <row r="11" spans="1:17" x14ac:dyDescent="0.25">
      <c r="B11" t="s">
        <v>29</v>
      </c>
      <c r="C11" t="s">
        <v>37</v>
      </c>
      <c r="D11" t="s">
        <v>1</v>
      </c>
      <c r="E11">
        <v>10000</v>
      </c>
      <c r="F11">
        <f t="shared" si="3"/>
        <v>10000</v>
      </c>
      <c r="G11" s="15">
        <v>0</v>
      </c>
      <c r="H11">
        <v>1581.44</v>
      </c>
      <c r="I11">
        <v>106.02</v>
      </c>
      <c r="J11" s="15">
        <v>0</v>
      </c>
      <c r="K11" s="15">
        <v>0</v>
      </c>
      <c r="L11" s="15">
        <v>0</v>
      </c>
      <c r="M11">
        <f>SUM(G11:L11)</f>
        <v>1687.46</v>
      </c>
      <c r="N11" s="5">
        <f t="shared" si="1"/>
        <v>8312.5400000000009</v>
      </c>
      <c r="O11" s="10">
        <v>796.52</v>
      </c>
      <c r="P11" s="10">
        <v>1650</v>
      </c>
      <c r="Q11" s="35">
        <f>O11+P11</f>
        <v>2446.52</v>
      </c>
    </row>
    <row r="12" spans="1:17" x14ac:dyDescent="0.25">
      <c r="B12" t="s">
        <v>30</v>
      </c>
      <c r="C12" t="s">
        <v>38</v>
      </c>
      <c r="D12" t="s">
        <v>74</v>
      </c>
      <c r="E12">
        <v>5350</v>
      </c>
      <c r="F12">
        <f t="shared" si="3"/>
        <v>5350</v>
      </c>
      <c r="G12" s="15">
        <v>0</v>
      </c>
      <c r="H12">
        <v>588.20000000000005</v>
      </c>
      <c r="I12">
        <v>50.77</v>
      </c>
      <c r="J12" s="15">
        <v>0</v>
      </c>
      <c r="K12" s="15">
        <v>0</v>
      </c>
      <c r="L12" s="15">
        <v>0</v>
      </c>
      <c r="M12">
        <f t="shared" ref="M12:M16" si="5">SUM(G12:L12)</f>
        <v>638.97</v>
      </c>
      <c r="N12" s="5">
        <f t="shared" si="1"/>
        <v>4711.03</v>
      </c>
      <c r="O12" s="10">
        <v>510.86</v>
      </c>
      <c r="P12" s="10">
        <v>882.75</v>
      </c>
      <c r="Q12" s="35">
        <f>O12+P12</f>
        <v>1393.6100000000001</v>
      </c>
    </row>
    <row r="13" spans="1:17" x14ac:dyDescent="0.25">
      <c r="B13" t="s">
        <v>31</v>
      </c>
      <c r="C13" t="s">
        <v>90</v>
      </c>
      <c r="D13" t="s">
        <v>75</v>
      </c>
      <c r="E13" s="15">
        <v>0</v>
      </c>
      <c r="F13" s="15">
        <f t="shared" si="3"/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f t="shared" si="5"/>
        <v>0</v>
      </c>
      <c r="N13" s="12">
        <f t="shared" si="1"/>
        <v>0</v>
      </c>
      <c r="O13" s="27">
        <v>0</v>
      </c>
      <c r="P13" s="27">
        <v>0</v>
      </c>
      <c r="Q13" s="35">
        <f>O13+P13</f>
        <v>0</v>
      </c>
    </row>
    <row r="14" spans="1:17" x14ac:dyDescent="0.25">
      <c r="B14" t="s">
        <v>32</v>
      </c>
      <c r="C14" t="s">
        <v>90</v>
      </c>
      <c r="D14" t="s">
        <v>77</v>
      </c>
      <c r="E14" s="15">
        <v>0</v>
      </c>
      <c r="F14" s="15">
        <f t="shared" si="3"/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f t="shared" si="5"/>
        <v>0</v>
      </c>
      <c r="N14" s="12">
        <f t="shared" si="1"/>
        <v>0</v>
      </c>
      <c r="O14" s="27">
        <v>0</v>
      </c>
      <c r="P14" s="27">
        <v>0</v>
      </c>
      <c r="Q14" s="35">
        <f>O14+P14</f>
        <v>0</v>
      </c>
    </row>
    <row r="15" spans="1:17" x14ac:dyDescent="0.25">
      <c r="B15" t="s">
        <v>33</v>
      </c>
      <c r="C15" t="s">
        <v>86</v>
      </c>
      <c r="D15" t="s">
        <v>5</v>
      </c>
      <c r="E15">
        <v>5000</v>
      </c>
      <c r="F15">
        <f>E15</f>
        <v>5000</v>
      </c>
      <c r="G15" s="15">
        <v>0</v>
      </c>
      <c r="H15">
        <v>518.57000000000005</v>
      </c>
      <c r="I15">
        <v>46.61</v>
      </c>
      <c r="J15" s="15">
        <v>0</v>
      </c>
      <c r="K15" s="15">
        <v>0</v>
      </c>
      <c r="L15" s="15">
        <v>0</v>
      </c>
      <c r="M15">
        <f t="shared" si="5"/>
        <v>565.18000000000006</v>
      </c>
      <c r="N15" s="5">
        <f t="shared" si="1"/>
        <v>4434.82</v>
      </c>
      <c r="O15" s="10">
        <v>489.36</v>
      </c>
      <c r="P15" s="10">
        <v>825</v>
      </c>
      <c r="Q15" s="35">
        <f>O15+P15</f>
        <v>1314.3600000000001</v>
      </c>
    </row>
    <row r="16" spans="1:17" x14ac:dyDescent="0.25">
      <c r="B16" t="s">
        <v>34</v>
      </c>
      <c r="C16" t="s">
        <v>87</v>
      </c>
      <c r="D16" t="s">
        <v>39</v>
      </c>
      <c r="E16">
        <v>4500</v>
      </c>
      <c r="F16">
        <f t="shared" ref="F16:F17" si="6">E16</f>
        <v>4500</v>
      </c>
      <c r="G16" s="15">
        <v>0</v>
      </c>
      <c r="H16">
        <v>428.97</v>
      </c>
      <c r="I16">
        <v>40.67</v>
      </c>
      <c r="J16" s="15">
        <v>0</v>
      </c>
      <c r="K16" s="15">
        <v>0</v>
      </c>
      <c r="L16" s="15">
        <v>0</v>
      </c>
      <c r="M16">
        <f t="shared" si="5"/>
        <v>469.64000000000004</v>
      </c>
      <c r="N16" s="5">
        <f t="shared" si="1"/>
        <v>4030.36</v>
      </c>
      <c r="O16" s="10">
        <v>458.64</v>
      </c>
      <c r="P16" s="10">
        <v>742.5</v>
      </c>
      <c r="Q16" s="35">
        <f t="shared" ref="Q16:Q18" si="7">O16+P16</f>
        <v>1201.1399999999999</v>
      </c>
    </row>
    <row r="17" spans="1:17" x14ac:dyDescent="0.25">
      <c r="B17" t="s">
        <v>35</v>
      </c>
      <c r="C17" t="s">
        <v>89</v>
      </c>
      <c r="D17" t="s">
        <v>4</v>
      </c>
      <c r="E17">
        <v>2700</v>
      </c>
      <c r="F17">
        <f t="shared" si="6"/>
        <v>2700</v>
      </c>
      <c r="G17" s="15">
        <v>0</v>
      </c>
      <c r="H17">
        <v>188.33</v>
      </c>
      <c r="I17">
        <v>19.29</v>
      </c>
      <c r="J17" s="15">
        <v>0</v>
      </c>
      <c r="K17" s="15">
        <v>0</v>
      </c>
      <c r="L17" s="15">
        <v>0</v>
      </c>
      <c r="M17">
        <f>SUM(G17:L17)</f>
        <v>207.62</v>
      </c>
      <c r="N17" s="5">
        <f t="shared" si="1"/>
        <v>2492.38</v>
      </c>
      <c r="O17" s="10">
        <v>348.07</v>
      </c>
      <c r="P17" s="10">
        <v>445.5</v>
      </c>
      <c r="Q17" s="35">
        <f t="shared" si="7"/>
        <v>793.56999999999994</v>
      </c>
    </row>
    <row r="18" spans="1:17" x14ac:dyDescent="0.25">
      <c r="B18" t="s">
        <v>36</v>
      </c>
      <c r="C18" t="s">
        <v>88</v>
      </c>
      <c r="D18" t="s">
        <v>40</v>
      </c>
      <c r="E18">
        <v>3150</v>
      </c>
      <c r="F18">
        <f>SUM(E18:E18)</f>
        <v>3150</v>
      </c>
      <c r="G18" s="15">
        <v>0</v>
      </c>
      <c r="H18">
        <v>237.29</v>
      </c>
      <c r="I18">
        <v>24.64</v>
      </c>
      <c r="J18" s="15">
        <v>0</v>
      </c>
      <c r="K18" s="15">
        <v>0</v>
      </c>
      <c r="L18" s="15">
        <v>0</v>
      </c>
      <c r="M18">
        <f>SUM(G18:L18)</f>
        <v>261.93</v>
      </c>
      <c r="N18" s="5">
        <f t="shared" si="1"/>
        <v>2888.07</v>
      </c>
      <c r="O18" s="10">
        <v>375.71</v>
      </c>
      <c r="P18" s="10">
        <v>519.75</v>
      </c>
      <c r="Q18" s="35">
        <f t="shared" si="7"/>
        <v>895.46</v>
      </c>
    </row>
    <row r="19" spans="1:17" x14ac:dyDescent="0.25">
      <c r="A19" t="s">
        <v>136</v>
      </c>
      <c r="B19" s="2" t="s">
        <v>26</v>
      </c>
      <c r="E19" s="34">
        <f>SUM(E11:E18)</f>
        <v>30700</v>
      </c>
      <c r="F19" s="34">
        <f>SUM(F11:F18)</f>
        <v>30700</v>
      </c>
      <c r="G19" s="34">
        <f t="shared" ref="G19:Q19" si="8">SUM(G11:G18)</f>
        <v>0</v>
      </c>
      <c r="H19" s="34">
        <f t="shared" si="8"/>
        <v>3542.8</v>
      </c>
      <c r="I19" s="34">
        <f t="shared" si="8"/>
        <v>288</v>
      </c>
      <c r="J19" s="34">
        <f t="shared" si="8"/>
        <v>0</v>
      </c>
      <c r="K19" s="34">
        <f t="shared" si="8"/>
        <v>0</v>
      </c>
      <c r="L19" s="34">
        <f t="shared" si="8"/>
        <v>0</v>
      </c>
      <c r="M19" s="34">
        <f t="shared" si="8"/>
        <v>3830.8</v>
      </c>
      <c r="N19" s="34">
        <f t="shared" si="8"/>
        <v>26869.200000000001</v>
      </c>
      <c r="O19" s="34">
        <f t="shared" si="8"/>
        <v>2979.1600000000003</v>
      </c>
      <c r="P19" s="34">
        <f t="shared" si="8"/>
        <v>5065.5</v>
      </c>
      <c r="Q19" s="34">
        <f t="shared" si="8"/>
        <v>8044.6599999999989</v>
      </c>
    </row>
    <row r="20" spans="1:17" x14ac:dyDescent="0.25">
      <c r="B20" s="2"/>
    </row>
    <row r="21" spans="1:17" x14ac:dyDescent="0.25">
      <c r="B21" s="2" t="s">
        <v>43</v>
      </c>
      <c r="C21" s="2" t="s">
        <v>44</v>
      </c>
    </row>
    <row r="22" spans="1:17" x14ac:dyDescent="0.25">
      <c r="B22" t="s">
        <v>45</v>
      </c>
      <c r="C22" t="s">
        <v>90</v>
      </c>
      <c r="D22" t="s">
        <v>6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f t="shared" ref="M22" si="9">SUM(G22:L22)</f>
        <v>0</v>
      </c>
      <c r="N22" s="12">
        <v>0</v>
      </c>
      <c r="O22" s="27">
        <v>0</v>
      </c>
      <c r="P22" s="27">
        <v>0</v>
      </c>
      <c r="Q22" s="35">
        <v>0</v>
      </c>
    </row>
    <row r="23" spans="1:17" x14ac:dyDescent="0.25">
      <c r="B23" t="s">
        <v>46</v>
      </c>
      <c r="C23" t="s">
        <v>91</v>
      </c>
      <c r="D23" t="s">
        <v>76</v>
      </c>
      <c r="E23">
        <v>5350</v>
      </c>
      <c r="F23">
        <f>E23</f>
        <v>5350</v>
      </c>
      <c r="G23" s="15">
        <v>0</v>
      </c>
      <c r="H23">
        <v>588.20000000000005</v>
      </c>
      <c r="I23">
        <v>50.77</v>
      </c>
      <c r="J23" s="15">
        <v>0</v>
      </c>
      <c r="K23" s="15">
        <v>0</v>
      </c>
      <c r="L23" s="15">
        <v>0</v>
      </c>
      <c r="M23">
        <f>SUM(G23:L23)</f>
        <v>638.97</v>
      </c>
      <c r="N23" s="5">
        <f>F23-M23</f>
        <v>4711.03</v>
      </c>
      <c r="O23" s="10">
        <v>510.86</v>
      </c>
      <c r="P23" s="10">
        <v>882.75</v>
      </c>
      <c r="Q23" s="35">
        <f>O23+P23</f>
        <v>1393.6100000000001</v>
      </c>
    </row>
    <row r="24" spans="1:17" x14ac:dyDescent="0.25">
      <c r="A24" t="s">
        <v>134</v>
      </c>
      <c r="B24" s="2" t="s">
        <v>26</v>
      </c>
      <c r="E24" s="34">
        <f>SUM(E22:E23)</f>
        <v>5350</v>
      </c>
      <c r="F24" s="34">
        <f t="shared" ref="F24:Q24" si="10">SUM(F22:F23)</f>
        <v>5350</v>
      </c>
      <c r="G24" s="34">
        <f t="shared" si="10"/>
        <v>0</v>
      </c>
      <c r="H24" s="34">
        <f t="shared" si="10"/>
        <v>588.20000000000005</v>
      </c>
      <c r="I24" s="34">
        <f t="shared" si="10"/>
        <v>50.77</v>
      </c>
      <c r="J24" s="34">
        <f t="shared" si="10"/>
        <v>0</v>
      </c>
      <c r="K24" s="34">
        <f t="shared" si="10"/>
        <v>0</v>
      </c>
      <c r="L24" s="34">
        <f t="shared" si="10"/>
        <v>0</v>
      </c>
      <c r="M24" s="34">
        <f t="shared" si="10"/>
        <v>638.97</v>
      </c>
      <c r="N24" s="34">
        <f t="shared" si="10"/>
        <v>4711.03</v>
      </c>
      <c r="O24" s="34">
        <f t="shared" si="10"/>
        <v>510.86</v>
      </c>
      <c r="P24" s="34">
        <f t="shared" si="10"/>
        <v>882.75</v>
      </c>
      <c r="Q24" s="34">
        <f t="shared" si="10"/>
        <v>1393.6100000000001</v>
      </c>
    </row>
    <row r="26" spans="1:17" x14ac:dyDescent="0.25">
      <c r="B26" s="2" t="s">
        <v>43</v>
      </c>
      <c r="C26" s="2" t="s">
        <v>47</v>
      </c>
    </row>
    <row r="27" spans="1:17" x14ac:dyDescent="0.25">
      <c r="B27" t="s">
        <v>48</v>
      </c>
      <c r="C27" t="s">
        <v>93</v>
      </c>
      <c r="D27" t="s">
        <v>78</v>
      </c>
      <c r="E27">
        <v>5350</v>
      </c>
      <c r="F27">
        <f>E27</f>
        <v>5350</v>
      </c>
      <c r="G27" s="15">
        <v>0</v>
      </c>
      <c r="H27">
        <v>588.20000000000005</v>
      </c>
      <c r="I27">
        <v>50.77</v>
      </c>
      <c r="J27" s="15">
        <v>0</v>
      </c>
      <c r="K27" s="15">
        <v>0</v>
      </c>
      <c r="L27" s="15">
        <v>0</v>
      </c>
      <c r="M27">
        <f>SUM(G27:L27)</f>
        <v>638.97</v>
      </c>
      <c r="N27" s="5">
        <f>F27-M27</f>
        <v>4711.03</v>
      </c>
      <c r="O27" s="10">
        <v>510.86</v>
      </c>
      <c r="P27" s="10">
        <v>882.75</v>
      </c>
      <c r="Q27" s="35">
        <f>O27+P27</f>
        <v>1393.6100000000001</v>
      </c>
    </row>
    <row r="28" spans="1:17" x14ac:dyDescent="0.25">
      <c r="B28" t="s">
        <v>49</v>
      </c>
      <c r="C28" t="s">
        <v>90</v>
      </c>
      <c r="D28" t="s">
        <v>79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f>SUM(G28:L28)</f>
        <v>0</v>
      </c>
      <c r="N28" s="12">
        <v>0</v>
      </c>
      <c r="O28" s="27">
        <v>0</v>
      </c>
      <c r="P28" s="27">
        <v>0</v>
      </c>
      <c r="Q28" s="38">
        <v>0</v>
      </c>
    </row>
    <row r="29" spans="1:17" x14ac:dyDescent="0.25">
      <c r="A29" t="s">
        <v>137</v>
      </c>
      <c r="B29" s="2" t="s">
        <v>26</v>
      </c>
      <c r="E29" s="34">
        <f>SUM(E27:E28)</f>
        <v>5350</v>
      </c>
      <c r="F29" s="34">
        <f t="shared" ref="F29:Q29" si="11">SUM(F27:F28)</f>
        <v>5350</v>
      </c>
      <c r="G29" s="34">
        <f t="shared" si="11"/>
        <v>0</v>
      </c>
      <c r="H29" s="34">
        <f t="shared" si="11"/>
        <v>588.20000000000005</v>
      </c>
      <c r="I29" s="34">
        <f t="shared" si="11"/>
        <v>50.77</v>
      </c>
      <c r="J29" s="34">
        <f t="shared" si="11"/>
        <v>0</v>
      </c>
      <c r="K29" s="34">
        <f t="shared" si="11"/>
        <v>0</v>
      </c>
      <c r="L29" s="34">
        <f t="shared" si="11"/>
        <v>0</v>
      </c>
      <c r="M29" s="34">
        <f t="shared" si="11"/>
        <v>638.97</v>
      </c>
      <c r="N29" s="34">
        <f t="shared" si="11"/>
        <v>4711.03</v>
      </c>
      <c r="O29" s="34">
        <f t="shared" si="11"/>
        <v>510.86</v>
      </c>
      <c r="P29" s="34">
        <f t="shared" si="11"/>
        <v>882.75</v>
      </c>
      <c r="Q29" s="34">
        <f t="shared" si="11"/>
        <v>1393.6100000000001</v>
      </c>
    </row>
    <row r="31" spans="1:17" x14ac:dyDescent="0.25">
      <c r="B31" s="2" t="s">
        <v>50</v>
      </c>
      <c r="C31" s="2" t="s">
        <v>51</v>
      </c>
    </row>
    <row r="32" spans="1:17" x14ac:dyDescent="0.25">
      <c r="B32" t="s">
        <v>52</v>
      </c>
      <c r="C32" t="s">
        <v>97</v>
      </c>
      <c r="D32" t="s">
        <v>80</v>
      </c>
      <c r="E32">
        <v>5350</v>
      </c>
      <c r="F32">
        <f t="shared" ref="F32:F42" si="12">E32</f>
        <v>5350</v>
      </c>
      <c r="G32" s="15">
        <v>0</v>
      </c>
      <c r="H32">
        <v>588.20000000000005</v>
      </c>
      <c r="I32">
        <v>50.77</v>
      </c>
      <c r="J32" s="15">
        <v>0</v>
      </c>
      <c r="K32" s="15">
        <v>0</v>
      </c>
      <c r="L32" s="15">
        <v>0</v>
      </c>
      <c r="M32">
        <f>SUM(G32:L32)</f>
        <v>638.97</v>
      </c>
      <c r="N32" s="5">
        <f t="shared" ref="N32:N42" si="13">F32-M32</f>
        <v>4711.03</v>
      </c>
      <c r="O32" s="10">
        <v>510.86</v>
      </c>
      <c r="P32" s="10">
        <v>882.75</v>
      </c>
      <c r="Q32" s="35">
        <f t="shared" ref="Q32:Q42" si="14">O32+P32</f>
        <v>1393.6100000000001</v>
      </c>
    </row>
    <row r="33" spans="1:17" x14ac:dyDescent="0.25">
      <c r="B33" t="s">
        <v>53</v>
      </c>
      <c r="C33" t="s">
        <v>100</v>
      </c>
      <c r="D33" t="s">
        <v>80</v>
      </c>
      <c r="E33">
        <v>5350</v>
      </c>
      <c r="F33">
        <f t="shared" si="12"/>
        <v>5350</v>
      </c>
      <c r="G33" s="15">
        <v>0</v>
      </c>
      <c r="H33">
        <v>588.20000000000005</v>
      </c>
      <c r="I33">
        <v>50.77</v>
      </c>
      <c r="J33" s="15">
        <v>0</v>
      </c>
      <c r="K33" s="15">
        <v>0</v>
      </c>
      <c r="L33" s="15">
        <v>0</v>
      </c>
      <c r="M33">
        <f t="shared" ref="M33:M42" si="15">SUM(G33:L33)</f>
        <v>638.97</v>
      </c>
      <c r="N33" s="5">
        <f t="shared" si="13"/>
        <v>4711.03</v>
      </c>
      <c r="O33" s="10">
        <v>510.86</v>
      </c>
      <c r="P33" s="10">
        <v>882.75</v>
      </c>
      <c r="Q33" s="35">
        <f t="shared" si="14"/>
        <v>1393.6100000000001</v>
      </c>
    </row>
    <row r="34" spans="1:17" x14ac:dyDescent="0.25">
      <c r="B34" t="s">
        <v>54</v>
      </c>
      <c r="C34" t="s">
        <v>96</v>
      </c>
      <c r="D34" t="s">
        <v>78</v>
      </c>
      <c r="E34">
        <v>5350</v>
      </c>
      <c r="F34">
        <f t="shared" si="12"/>
        <v>5350</v>
      </c>
      <c r="G34" s="15">
        <v>0</v>
      </c>
      <c r="H34">
        <v>588.20000000000005</v>
      </c>
      <c r="I34">
        <v>50.77</v>
      </c>
      <c r="J34" s="15">
        <v>0</v>
      </c>
      <c r="K34" s="15">
        <v>0</v>
      </c>
      <c r="L34" s="15">
        <v>0</v>
      </c>
      <c r="M34">
        <f t="shared" si="15"/>
        <v>638.97</v>
      </c>
      <c r="N34" s="5">
        <f t="shared" si="13"/>
        <v>4711.03</v>
      </c>
      <c r="O34" s="10">
        <v>510.86</v>
      </c>
      <c r="P34" s="10">
        <v>882.75</v>
      </c>
      <c r="Q34" s="35">
        <f t="shared" si="14"/>
        <v>1393.6100000000001</v>
      </c>
    </row>
    <row r="35" spans="1:17" x14ac:dyDescent="0.25">
      <c r="B35" t="s">
        <v>55</v>
      </c>
      <c r="C35" t="s">
        <v>104</v>
      </c>
      <c r="D35" t="s">
        <v>78</v>
      </c>
      <c r="E35">
        <v>5350</v>
      </c>
      <c r="F35">
        <f t="shared" si="12"/>
        <v>5350</v>
      </c>
      <c r="G35" s="15">
        <v>0</v>
      </c>
      <c r="H35">
        <v>588.20000000000005</v>
      </c>
      <c r="I35">
        <v>50.77</v>
      </c>
      <c r="J35" s="15">
        <v>0</v>
      </c>
      <c r="K35" s="15">
        <v>0</v>
      </c>
      <c r="L35" s="15">
        <v>0</v>
      </c>
      <c r="M35">
        <f t="shared" si="15"/>
        <v>638.97</v>
      </c>
      <c r="N35" s="5">
        <f t="shared" si="13"/>
        <v>4711.03</v>
      </c>
      <c r="O35" s="10">
        <v>510.86</v>
      </c>
      <c r="P35" s="10">
        <v>882.75</v>
      </c>
      <c r="Q35" s="35">
        <f t="shared" si="14"/>
        <v>1393.6100000000001</v>
      </c>
    </row>
    <row r="36" spans="1:17" x14ac:dyDescent="0.25">
      <c r="B36" t="s">
        <v>56</v>
      </c>
      <c r="C36" t="s">
        <v>94</v>
      </c>
      <c r="D36" t="s">
        <v>81</v>
      </c>
      <c r="E36">
        <v>5350</v>
      </c>
      <c r="F36">
        <f t="shared" si="12"/>
        <v>5350</v>
      </c>
      <c r="G36" s="15">
        <v>0</v>
      </c>
      <c r="H36">
        <v>588.20000000000005</v>
      </c>
      <c r="I36">
        <v>50.77</v>
      </c>
      <c r="J36" s="15">
        <v>0</v>
      </c>
      <c r="K36" s="15">
        <v>0</v>
      </c>
      <c r="L36" s="15">
        <v>0</v>
      </c>
      <c r="M36">
        <f t="shared" si="15"/>
        <v>638.97</v>
      </c>
      <c r="N36" s="5">
        <f t="shared" si="13"/>
        <v>4711.03</v>
      </c>
      <c r="O36" s="10">
        <v>510.86</v>
      </c>
      <c r="P36" s="10">
        <v>882.75</v>
      </c>
      <c r="Q36" s="35">
        <f t="shared" si="14"/>
        <v>1393.6100000000001</v>
      </c>
    </row>
    <row r="37" spans="1:17" x14ac:dyDescent="0.25">
      <c r="B37" t="s">
        <v>57</v>
      </c>
      <c r="C37" t="s">
        <v>98</v>
      </c>
      <c r="D37" t="s">
        <v>81</v>
      </c>
      <c r="E37">
        <v>5350</v>
      </c>
      <c r="F37">
        <f t="shared" si="12"/>
        <v>5350</v>
      </c>
      <c r="G37" s="15">
        <v>0</v>
      </c>
      <c r="H37">
        <v>588.20000000000005</v>
      </c>
      <c r="I37">
        <v>50.77</v>
      </c>
      <c r="J37" s="15">
        <v>0</v>
      </c>
      <c r="K37" s="15">
        <v>0</v>
      </c>
      <c r="L37" s="15">
        <v>0</v>
      </c>
      <c r="M37">
        <f t="shared" si="15"/>
        <v>638.97</v>
      </c>
      <c r="N37" s="5">
        <f t="shared" si="13"/>
        <v>4711.03</v>
      </c>
      <c r="O37" s="10">
        <v>510.86</v>
      </c>
      <c r="P37" s="10">
        <v>882.75</v>
      </c>
      <c r="Q37" s="35">
        <f t="shared" si="14"/>
        <v>1393.6100000000001</v>
      </c>
    </row>
    <row r="38" spans="1:17" x14ac:dyDescent="0.25">
      <c r="B38" t="s">
        <v>58</v>
      </c>
      <c r="C38" t="s">
        <v>101</v>
      </c>
      <c r="D38" t="s">
        <v>81</v>
      </c>
      <c r="E38">
        <v>5350</v>
      </c>
      <c r="F38">
        <f t="shared" si="12"/>
        <v>5350</v>
      </c>
      <c r="G38" s="15">
        <v>0</v>
      </c>
      <c r="H38">
        <v>588.20000000000005</v>
      </c>
      <c r="I38">
        <v>50.77</v>
      </c>
      <c r="J38" s="15">
        <v>0</v>
      </c>
      <c r="K38" s="15">
        <v>0</v>
      </c>
      <c r="L38" s="15">
        <v>0</v>
      </c>
      <c r="M38">
        <f t="shared" si="15"/>
        <v>638.97</v>
      </c>
      <c r="N38" s="5">
        <f t="shared" si="13"/>
        <v>4711.03</v>
      </c>
      <c r="O38" s="10">
        <v>510.86</v>
      </c>
      <c r="P38" s="10">
        <v>882.75</v>
      </c>
      <c r="Q38" s="35">
        <f t="shared" si="14"/>
        <v>1393.6100000000001</v>
      </c>
    </row>
    <row r="39" spans="1:17" x14ac:dyDescent="0.25">
      <c r="B39" t="s">
        <v>59</v>
      </c>
      <c r="C39" t="s">
        <v>95</v>
      </c>
      <c r="D39" t="s">
        <v>82</v>
      </c>
      <c r="E39">
        <v>5350</v>
      </c>
      <c r="F39">
        <f t="shared" si="12"/>
        <v>5350</v>
      </c>
      <c r="G39" s="15">
        <v>0</v>
      </c>
      <c r="H39">
        <v>588.20000000000005</v>
      </c>
      <c r="I39">
        <v>50.77</v>
      </c>
      <c r="J39" s="15">
        <v>0</v>
      </c>
      <c r="K39" s="15">
        <v>0</v>
      </c>
      <c r="L39" s="15">
        <v>0</v>
      </c>
      <c r="M39">
        <f t="shared" si="15"/>
        <v>638.97</v>
      </c>
      <c r="N39" s="5">
        <f t="shared" si="13"/>
        <v>4711.03</v>
      </c>
      <c r="O39" s="10">
        <v>510.86</v>
      </c>
      <c r="P39" s="10">
        <v>882.75</v>
      </c>
      <c r="Q39" s="35">
        <f t="shared" si="14"/>
        <v>1393.6100000000001</v>
      </c>
    </row>
    <row r="40" spans="1:17" x14ac:dyDescent="0.25">
      <c r="B40" t="s">
        <v>60</v>
      </c>
      <c r="C40" t="s">
        <v>102</v>
      </c>
      <c r="D40" t="s">
        <v>82</v>
      </c>
      <c r="E40">
        <v>5350</v>
      </c>
      <c r="F40">
        <f t="shared" si="12"/>
        <v>5350</v>
      </c>
      <c r="G40" s="15">
        <v>0</v>
      </c>
      <c r="H40">
        <v>588.20000000000005</v>
      </c>
      <c r="I40">
        <v>50.77</v>
      </c>
      <c r="J40" s="15">
        <v>0</v>
      </c>
      <c r="K40" s="15">
        <v>0</v>
      </c>
      <c r="L40" s="15">
        <v>0</v>
      </c>
      <c r="M40">
        <f t="shared" si="15"/>
        <v>638.97</v>
      </c>
      <c r="N40" s="5">
        <f t="shared" si="13"/>
        <v>4711.03</v>
      </c>
      <c r="O40" s="10">
        <v>510.86</v>
      </c>
      <c r="P40" s="10">
        <v>882.75</v>
      </c>
      <c r="Q40" s="35">
        <f t="shared" si="14"/>
        <v>1393.6100000000001</v>
      </c>
    </row>
    <row r="41" spans="1:17" x14ac:dyDescent="0.25">
      <c r="B41" t="s">
        <v>61</v>
      </c>
      <c r="C41" t="s">
        <v>85</v>
      </c>
      <c r="D41" t="s">
        <v>83</v>
      </c>
      <c r="E41">
        <v>5350</v>
      </c>
      <c r="F41">
        <f t="shared" si="12"/>
        <v>5350</v>
      </c>
      <c r="G41" s="15">
        <v>0</v>
      </c>
      <c r="H41">
        <v>588.20000000000005</v>
      </c>
      <c r="I41">
        <v>50.77</v>
      </c>
      <c r="J41" s="15">
        <v>0</v>
      </c>
      <c r="K41" s="15">
        <v>0</v>
      </c>
      <c r="L41" s="15">
        <v>0</v>
      </c>
      <c r="M41">
        <f t="shared" si="15"/>
        <v>638.97</v>
      </c>
      <c r="N41" s="5">
        <f t="shared" si="13"/>
        <v>4711.03</v>
      </c>
      <c r="O41" s="10">
        <v>510.86</v>
      </c>
      <c r="P41" s="10">
        <v>882.75</v>
      </c>
      <c r="Q41" s="35">
        <f t="shared" si="14"/>
        <v>1393.6100000000001</v>
      </c>
    </row>
    <row r="42" spans="1:17" x14ac:dyDescent="0.25">
      <c r="B42" t="s">
        <v>62</v>
      </c>
      <c r="C42" t="s">
        <v>103</v>
      </c>
      <c r="D42" t="s">
        <v>83</v>
      </c>
      <c r="E42">
        <v>5350</v>
      </c>
      <c r="F42">
        <f t="shared" si="12"/>
        <v>5350</v>
      </c>
      <c r="G42" s="15">
        <v>0</v>
      </c>
      <c r="H42">
        <v>588.20000000000005</v>
      </c>
      <c r="I42">
        <v>50.77</v>
      </c>
      <c r="J42" s="15">
        <v>0</v>
      </c>
      <c r="K42" s="15">
        <v>0</v>
      </c>
      <c r="L42" s="15">
        <v>0</v>
      </c>
      <c r="M42">
        <f t="shared" si="15"/>
        <v>638.97</v>
      </c>
      <c r="N42" s="5">
        <f t="shared" si="13"/>
        <v>4711.03</v>
      </c>
      <c r="O42" s="10">
        <v>510.86</v>
      </c>
      <c r="P42" s="10">
        <v>882.75</v>
      </c>
      <c r="Q42" s="35">
        <f t="shared" si="14"/>
        <v>1393.6100000000001</v>
      </c>
    </row>
    <row r="43" spans="1:17" x14ac:dyDescent="0.25">
      <c r="A43" t="s">
        <v>138</v>
      </c>
      <c r="B43" s="2" t="s">
        <v>26</v>
      </c>
      <c r="E43" s="34">
        <f>SUM(E32:E42)</f>
        <v>58850</v>
      </c>
      <c r="F43" s="34">
        <f t="shared" ref="F43:Q43" si="16">SUM(F32:F42)</f>
        <v>58850</v>
      </c>
      <c r="G43" s="34">
        <f t="shared" si="16"/>
        <v>0</v>
      </c>
      <c r="H43" s="34">
        <f t="shared" si="16"/>
        <v>6470.1999999999989</v>
      </c>
      <c r="I43" s="34">
        <f t="shared" si="16"/>
        <v>558.46999999999991</v>
      </c>
      <c r="J43" s="34">
        <f t="shared" si="16"/>
        <v>0</v>
      </c>
      <c r="K43" s="34">
        <f t="shared" si="16"/>
        <v>0</v>
      </c>
      <c r="L43" s="34">
        <f t="shared" si="16"/>
        <v>0</v>
      </c>
      <c r="M43" s="34">
        <f t="shared" si="16"/>
        <v>7028.6700000000019</v>
      </c>
      <c r="N43" s="34">
        <f t="shared" si="16"/>
        <v>51821.329999999994</v>
      </c>
      <c r="O43" s="34">
        <f t="shared" si="16"/>
        <v>5619.46</v>
      </c>
      <c r="P43" s="34">
        <f t="shared" si="16"/>
        <v>9710.25</v>
      </c>
      <c r="Q43" s="34">
        <f t="shared" si="16"/>
        <v>15329.710000000005</v>
      </c>
    </row>
    <row r="45" spans="1:17" x14ac:dyDescent="0.25">
      <c r="B45" s="2" t="s">
        <v>63</v>
      </c>
      <c r="C45" s="2" t="s">
        <v>64</v>
      </c>
    </row>
    <row r="46" spans="1:17" x14ac:dyDescent="0.25">
      <c r="B46" t="s">
        <v>65</v>
      </c>
      <c r="C46" t="s">
        <v>99</v>
      </c>
      <c r="D46" t="s">
        <v>80</v>
      </c>
      <c r="E46">
        <v>5350</v>
      </c>
      <c r="F46">
        <f>E46</f>
        <v>5350</v>
      </c>
      <c r="G46" s="15">
        <v>0</v>
      </c>
      <c r="H46">
        <v>588.20000000000005</v>
      </c>
      <c r="I46">
        <v>50.77</v>
      </c>
      <c r="J46" s="15">
        <v>0</v>
      </c>
      <c r="K46" s="15">
        <v>0</v>
      </c>
      <c r="L46" s="15">
        <v>0</v>
      </c>
      <c r="M46">
        <f>SUM(G46:L46)</f>
        <v>638.97</v>
      </c>
      <c r="N46" s="5">
        <f>F46-M46</f>
        <v>4711.03</v>
      </c>
      <c r="O46" s="10">
        <v>510.86</v>
      </c>
      <c r="P46" s="10">
        <v>882.75</v>
      </c>
      <c r="Q46" s="35">
        <f t="shared" ref="Q46" si="17">O46+P46</f>
        <v>1393.6100000000001</v>
      </c>
    </row>
    <row r="47" spans="1:17" x14ac:dyDescent="0.25">
      <c r="A47" t="s">
        <v>139</v>
      </c>
      <c r="B47" s="2" t="s">
        <v>26</v>
      </c>
      <c r="E47" s="34">
        <f>E46</f>
        <v>5350</v>
      </c>
      <c r="F47" s="34">
        <f t="shared" ref="F47:Q47" si="18">F46</f>
        <v>5350</v>
      </c>
      <c r="G47" s="34">
        <f t="shared" si="18"/>
        <v>0</v>
      </c>
      <c r="H47" s="34">
        <f t="shared" si="18"/>
        <v>588.20000000000005</v>
      </c>
      <c r="I47" s="34">
        <f t="shared" si="18"/>
        <v>50.77</v>
      </c>
      <c r="J47" s="34">
        <f t="shared" si="18"/>
        <v>0</v>
      </c>
      <c r="K47" s="34">
        <f t="shared" si="18"/>
        <v>0</v>
      </c>
      <c r="L47" s="34">
        <f t="shared" si="18"/>
        <v>0</v>
      </c>
      <c r="M47" s="34">
        <f t="shared" si="18"/>
        <v>638.97</v>
      </c>
      <c r="N47" s="34">
        <f t="shared" si="18"/>
        <v>4711.03</v>
      </c>
      <c r="O47" s="34">
        <f t="shared" si="18"/>
        <v>510.86</v>
      </c>
      <c r="P47" s="34">
        <f t="shared" si="18"/>
        <v>882.75</v>
      </c>
      <c r="Q47" s="34">
        <f t="shared" si="18"/>
        <v>1393.6100000000001</v>
      </c>
    </row>
    <row r="49" spans="2:17" x14ac:dyDescent="0.25">
      <c r="B49" s="2" t="s">
        <v>66</v>
      </c>
    </row>
    <row r="50" spans="2:17" x14ac:dyDescent="0.25">
      <c r="B50" t="s">
        <v>67</v>
      </c>
      <c r="D50" t="s">
        <v>84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f>SUM(G50:L50)</f>
        <v>0</v>
      </c>
      <c r="N50" s="15">
        <f>F50-M50</f>
        <v>0</v>
      </c>
      <c r="O50" s="15">
        <v>0</v>
      </c>
      <c r="P50" s="15">
        <v>0</v>
      </c>
      <c r="Q50" s="15">
        <v>0</v>
      </c>
    </row>
    <row r="51" spans="2:17" x14ac:dyDescent="0.25">
      <c r="B51" s="11" t="s">
        <v>68</v>
      </c>
      <c r="C51" s="11" t="s">
        <v>92</v>
      </c>
      <c r="D51" s="11" t="s">
        <v>7</v>
      </c>
      <c r="E51" s="11">
        <v>2000</v>
      </c>
      <c r="F51" s="11">
        <f>E51</f>
        <v>2000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f t="shared" ref="M51:M54" si="19">SUM(G51:L51)</f>
        <v>0</v>
      </c>
      <c r="N51">
        <f t="shared" ref="N51:N54" si="20">F51-M51</f>
        <v>2000</v>
      </c>
      <c r="O51" s="15">
        <v>0</v>
      </c>
      <c r="P51" s="15">
        <v>0</v>
      </c>
      <c r="Q51" s="15">
        <v>0</v>
      </c>
    </row>
    <row r="52" spans="2:17" x14ac:dyDescent="0.25">
      <c r="B52" t="s">
        <v>69</v>
      </c>
      <c r="D52" t="s">
        <v>7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f t="shared" si="19"/>
        <v>0</v>
      </c>
      <c r="N52" s="15">
        <f t="shared" si="20"/>
        <v>0</v>
      </c>
      <c r="O52" s="15">
        <v>0</v>
      </c>
      <c r="P52" s="15">
        <v>0</v>
      </c>
      <c r="Q52" s="15">
        <v>0</v>
      </c>
    </row>
    <row r="53" spans="2:17" x14ac:dyDescent="0.25">
      <c r="B53" t="s">
        <v>70</v>
      </c>
      <c r="D53" t="s">
        <v>7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f t="shared" si="19"/>
        <v>0</v>
      </c>
      <c r="N53" s="15">
        <f t="shared" si="20"/>
        <v>0</v>
      </c>
      <c r="O53" s="15">
        <v>0</v>
      </c>
      <c r="P53" s="15">
        <v>0</v>
      </c>
      <c r="Q53" s="15">
        <v>0</v>
      </c>
    </row>
    <row r="54" spans="2:17" x14ac:dyDescent="0.25">
      <c r="B54" t="s">
        <v>71</v>
      </c>
      <c r="D54" t="s">
        <v>7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f t="shared" si="19"/>
        <v>0</v>
      </c>
      <c r="N54" s="15">
        <f t="shared" si="20"/>
        <v>0</v>
      </c>
      <c r="O54" s="15">
        <v>0</v>
      </c>
      <c r="P54" s="15">
        <v>0</v>
      </c>
      <c r="Q54" s="15">
        <v>0</v>
      </c>
    </row>
    <row r="55" spans="2:17" x14ac:dyDescent="0.25">
      <c r="B55" s="2" t="s">
        <v>26</v>
      </c>
      <c r="E55" s="8">
        <f>SUM(E50:E54)</f>
        <v>2000</v>
      </c>
      <c r="F55" s="8">
        <f t="shared" ref="F55:Q55" si="21">SUM(F50:F54)</f>
        <v>2000</v>
      </c>
      <c r="G55" s="8">
        <f t="shared" si="21"/>
        <v>0</v>
      </c>
      <c r="H55" s="8">
        <f t="shared" si="21"/>
        <v>0</v>
      </c>
      <c r="I55" s="8">
        <f t="shared" si="21"/>
        <v>0</v>
      </c>
      <c r="J55" s="8">
        <f t="shared" si="21"/>
        <v>0</v>
      </c>
      <c r="K55" s="8">
        <f t="shared" si="21"/>
        <v>0</v>
      </c>
      <c r="L55" s="8">
        <f t="shared" si="21"/>
        <v>0</v>
      </c>
      <c r="M55" s="8">
        <f t="shared" si="21"/>
        <v>0</v>
      </c>
      <c r="N55" s="8">
        <f t="shared" si="21"/>
        <v>2000</v>
      </c>
      <c r="O55" s="8">
        <f t="shared" si="21"/>
        <v>0</v>
      </c>
      <c r="P55" s="8">
        <f t="shared" si="21"/>
        <v>0</v>
      </c>
      <c r="Q55" s="8">
        <f t="shared" si="21"/>
        <v>0</v>
      </c>
    </row>
    <row r="58" spans="2:17" ht="18.75" x14ac:dyDescent="0.3">
      <c r="D58" s="4" t="s">
        <v>105</v>
      </c>
      <c r="E58" s="9">
        <f>E8+E19+E24+E29+E43+E47+E55</f>
        <v>139404.95000000001</v>
      </c>
      <c r="F58" s="9">
        <f t="shared" ref="F58:Q58" si="22">F8+F19+F24+F29+F43+F47+F55</f>
        <v>139404.95000000001</v>
      </c>
      <c r="G58" s="9">
        <f t="shared" si="22"/>
        <v>0</v>
      </c>
      <c r="H58" s="9">
        <f t="shared" si="22"/>
        <v>17097.66</v>
      </c>
      <c r="I58" s="9">
        <f t="shared" si="22"/>
        <v>1338.2849999999999</v>
      </c>
      <c r="J58" s="9">
        <f t="shared" si="22"/>
        <v>0</v>
      </c>
      <c r="K58" s="9">
        <f t="shared" si="22"/>
        <v>0</v>
      </c>
      <c r="L58" s="9">
        <f t="shared" si="22"/>
        <v>0</v>
      </c>
      <c r="M58" s="9">
        <f t="shared" si="22"/>
        <v>18435.945000000003</v>
      </c>
      <c r="N58" s="9">
        <f t="shared" si="22"/>
        <v>120969.005</v>
      </c>
      <c r="O58" s="9">
        <f t="shared" si="22"/>
        <v>12631.630000000001</v>
      </c>
      <c r="P58" s="9">
        <f t="shared" si="22"/>
        <v>22671.809999999998</v>
      </c>
      <c r="Q58" s="9">
        <f t="shared" si="22"/>
        <v>35303.440000000002</v>
      </c>
    </row>
    <row r="61" spans="2:17" x14ac:dyDescent="0.25">
      <c r="C61" s="33"/>
      <c r="F61" s="1"/>
    </row>
  </sheetData>
  <mergeCells count="1">
    <mergeCell ref="E2:Q2"/>
  </mergeCells>
  <pageMargins left="0.7" right="0.7" top="0.75" bottom="0.75" header="0.3" footer="0.3"/>
  <pageSetup paperSize="9" orientation="portrait" verticalDpi="0" r:id="rId1"/>
  <ignoredErrors>
    <ignoredError sqref="M50 M52:M54 M22 M28" formulaRange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V60"/>
  <sheetViews>
    <sheetView topLeftCell="C1" zoomScale="85" zoomScaleNormal="85" workbookViewId="0">
      <selection activeCell="R39" sqref="R39"/>
    </sheetView>
  </sheetViews>
  <sheetFormatPr baseColWidth="10" defaultRowHeight="15.75" x14ac:dyDescent="0.25"/>
  <cols>
    <col min="1" max="1" width="0.7109375" customWidth="1"/>
    <col min="2" max="2" width="17.140625" customWidth="1"/>
    <col min="3" max="3" width="34.140625" customWidth="1"/>
    <col min="4" max="4" width="28" customWidth="1"/>
    <col min="5" max="5" width="18.42578125" customWidth="1"/>
    <col min="6" max="6" width="12.7109375" customWidth="1"/>
    <col min="7" max="7" width="12.28515625" customWidth="1"/>
    <col min="8" max="8" width="14.140625" customWidth="1"/>
    <col min="9" max="9" width="13.85546875" customWidth="1"/>
    <col min="10" max="10" width="11.42578125" customWidth="1"/>
    <col min="11" max="11" width="13.85546875" customWidth="1"/>
    <col min="12" max="12" width="9.42578125" customWidth="1"/>
    <col min="13" max="13" width="14.42578125" customWidth="1"/>
    <col min="14" max="14" width="12.7109375" customWidth="1"/>
    <col min="15" max="15" width="11.42578125" customWidth="1"/>
    <col min="16" max="16" width="12.85546875" customWidth="1"/>
    <col min="17" max="17" width="16.5703125" customWidth="1"/>
    <col min="18" max="18" width="18.28515625" style="133" customWidth="1"/>
    <col min="19" max="19" width="16.140625" customWidth="1"/>
    <col min="20" max="20" width="14.85546875" customWidth="1"/>
    <col min="21" max="21" width="17" customWidth="1"/>
  </cols>
  <sheetData>
    <row r="3" spans="2:22" x14ac:dyDescent="0.25"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29"/>
    </row>
    <row r="4" spans="2:22" ht="16.5" customHeight="1" x14ac:dyDescent="0.25">
      <c r="B4" s="380" t="s">
        <v>194</v>
      </c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</row>
    <row r="5" spans="2:22" s="56" customFormat="1" ht="39.75" customHeight="1" x14ac:dyDescent="0.25">
      <c r="B5" s="120" t="s">
        <v>9</v>
      </c>
      <c r="C5" s="119" t="s">
        <v>10</v>
      </c>
      <c r="D5" s="103" t="s">
        <v>0</v>
      </c>
      <c r="E5" s="61" t="s">
        <v>11</v>
      </c>
      <c r="F5" s="100" t="s">
        <v>150</v>
      </c>
      <c r="G5" s="117" t="s">
        <v>180</v>
      </c>
      <c r="H5" s="118" t="s">
        <v>182</v>
      </c>
      <c r="I5" s="97" t="s">
        <v>169</v>
      </c>
      <c r="J5" s="103" t="s">
        <v>170</v>
      </c>
      <c r="K5" s="103" t="s">
        <v>12</v>
      </c>
      <c r="L5" s="99" t="s">
        <v>107</v>
      </c>
      <c r="M5" s="100" t="s">
        <v>143</v>
      </c>
      <c r="N5" s="100" t="s">
        <v>13</v>
      </c>
      <c r="O5" s="101" t="s">
        <v>171</v>
      </c>
      <c r="P5" s="116" t="s">
        <v>16</v>
      </c>
      <c r="Q5" s="115" t="s">
        <v>17</v>
      </c>
      <c r="R5" s="130" t="s">
        <v>72</v>
      </c>
      <c r="S5" s="99" t="s">
        <v>8</v>
      </c>
      <c r="T5" s="123" t="s">
        <v>18</v>
      </c>
      <c r="U5" s="123" t="s">
        <v>73</v>
      </c>
      <c r="V5" s="102"/>
    </row>
    <row r="6" spans="2:22" x14ac:dyDescent="0.25">
      <c r="B6" s="107" t="s">
        <v>19</v>
      </c>
      <c r="C6" s="121" t="s">
        <v>20</v>
      </c>
      <c r="D6" s="121"/>
      <c r="E6" s="95"/>
      <c r="F6" s="15"/>
      <c r="G6" s="114"/>
      <c r="H6" s="15"/>
      <c r="I6" s="95"/>
      <c r="J6" s="95"/>
      <c r="K6" s="95"/>
      <c r="L6" s="15"/>
      <c r="M6" s="15"/>
      <c r="N6" s="15"/>
      <c r="O6" s="95"/>
      <c r="P6" s="15"/>
      <c r="Q6" s="95"/>
      <c r="R6" s="129"/>
    </row>
    <row r="7" spans="2:22" x14ac:dyDescent="0.25">
      <c r="B7" t="s">
        <v>21</v>
      </c>
      <c r="C7" s="11" t="s">
        <v>22</v>
      </c>
      <c r="D7" t="s">
        <v>25</v>
      </c>
      <c r="E7" s="15">
        <v>16954.95</v>
      </c>
      <c r="F7" s="29">
        <v>15</v>
      </c>
      <c r="G7" s="128">
        <v>2700</v>
      </c>
      <c r="H7" s="15"/>
      <c r="I7" s="15"/>
      <c r="J7" s="15"/>
      <c r="K7" s="15">
        <f>E7-I7</f>
        <v>16954.95</v>
      </c>
      <c r="L7" s="15">
        <v>0</v>
      </c>
      <c r="M7" s="15">
        <v>3246.93</v>
      </c>
      <c r="N7" s="15">
        <f>M7-L7</f>
        <v>3246.93</v>
      </c>
      <c r="O7" s="15">
        <v>0</v>
      </c>
      <c r="P7" s="20">
        <f>E7*0.115</f>
        <v>1949.8192500000002</v>
      </c>
      <c r="Q7" s="15">
        <f>SUM(N7:P7)+G7</f>
        <v>7896.7492499999998</v>
      </c>
      <c r="R7" s="135">
        <f>K7-Q7</f>
        <v>9058.20075</v>
      </c>
      <c r="S7" s="11">
        <v>328.67</v>
      </c>
      <c r="T7" s="11">
        <v>3390.99</v>
      </c>
      <c r="U7" s="35">
        <f>SUM(S7:T7)</f>
        <v>3719.66</v>
      </c>
    </row>
    <row r="8" spans="2:22" x14ac:dyDescent="0.25">
      <c r="B8" t="s">
        <v>23</v>
      </c>
      <c r="C8" s="11" t="s">
        <v>24</v>
      </c>
      <c r="D8" t="s">
        <v>3</v>
      </c>
      <c r="E8" s="15">
        <v>4850</v>
      </c>
      <c r="F8" s="29">
        <v>15</v>
      </c>
      <c r="G8" s="128">
        <v>809</v>
      </c>
      <c r="H8" s="15"/>
      <c r="I8" s="15"/>
      <c r="J8" s="15"/>
      <c r="K8" s="15">
        <f>E8-I8</f>
        <v>4850</v>
      </c>
      <c r="L8" s="15">
        <v>0</v>
      </c>
      <c r="M8" s="15">
        <v>491.69</v>
      </c>
      <c r="N8" s="15">
        <f>M8-L8</f>
        <v>491.69</v>
      </c>
      <c r="O8" s="15">
        <v>0</v>
      </c>
      <c r="P8" s="20">
        <f>E8*0.115</f>
        <v>557.75</v>
      </c>
      <c r="Q8" s="15">
        <f>SUM(N8:P8)+G8</f>
        <v>1858.44</v>
      </c>
      <c r="R8" s="135">
        <f>K8-Q8</f>
        <v>2991.56</v>
      </c>
      <c r="S8" s="11">
        <v>253.58</v>
      </c>
      <c r="T8" s="11">
        <v>970</v>
      </c>
      <c r="U8" s="35">
        <f t="shared" ref="U8" si="0">SUM(S8:T8)</f>
        <v>1223.58</v>
      </c>
    </row>
    <row r="9" spans="2:22" x14ac:dyDescent="0.25">
      <c r="B9" s="7" t="s">
        <v>26</v>
      </c>
      <c r="C9" s="30"/>
      <c r="D9" s="30"/>
      <c r="E9" s="34">
        <f>SUM(E7:E8)</f>
        <v>21804.95</v>
      </c>
      <c r="F9" s="34"/>
      <c r="G9" s="34">
        <f>+G8+G7</f>
        <v>3509</v>
      </c>
      <c r="H9" s="34"/>
      <c r="I9" s="34">
        <f t="shared" ref="I9:U9" si="1">SUM(I7:I8)</f>
        <v>0</v>
      </c>
      <c r="J9" s="34">
        <f t="shared" si="1"/>
        <v>0</v>
      </c>
      <c r="K9" s="34">
        <f t="shared" si="1"/>
        <v>21804.95</v>
      </c>
      <c r="L9" s="34">
        <f t="shared" si="1"/>
        <v>0</v>
      </c>
      <c r="M9" s="34">
        <f t="shared" si="1"/>
        <v>3738.62</v>
      </c>
      <c r="N9" s="34">
        <f t="shared" si="1"/>
        <v>3738.62</v>
      </c>
      <c r="O9" s="34">
        <f t="shared" si="1"/>
        <v>0</v>
      </c>
      <c r="P9" s="34">
        <f>SUM(P7:P8)</f>
        <v>2507.5692500000005</v>
      </c>
      <c r="Q9" s="34">
        <f t="shared" si="1"/>
        <v>9755.1892499999994</v>
      </c>
      <c r="R9" s="131">
        <f t="shared" si="1"/>
        <v>12049.760749999999</v>
      </c>
      <c r="S9" s="34">
        <f t="shared" si="1"/>
        <v>582.25</v>
      </c>
      <c r="T9" s="34">
        <f t="shared" si="1"/>
        <v>4360.99</v>
      </c>
      <c r="U9" s="34">
        <f t="shared" si="1"/>
        <v>4943.24</v>
      </c>
    </row>
    <row r="10" spans="2:22" ht="10.5" hidden="1" customHeight="1" x14ac:dyDescent="0.25"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29"/>
    </row>
    <row r="11" spans="2:22" x14ac:dyDescent="0.25">
      <c r="B11" s="2" t="s">
        <v>27</v>
      </c>
      <c r="C11" s="2" t="s">
        <v>28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29"/>
    </row>
    <row r="12" spans="2:22" x14ac:dyDescent="0.25">
      <c r="B12" t="s">
        <v>32</v>
      </c>
      <c r="C12" s="11" t="s">
        <v>37</v>
      </c>
      <c r="D12" t="s">
        <v>1</v>
      </c>
      <c r="E12" s="15">
        <v>10000</v>
      </c>
      <c r="F12" s="29">
        <v>15</v>
      </c>
      <c r="G12" s="128">
        <v>3334</v>
      </c>
      <c r="H12" s="15"/>
      <c r="I12" s="15"/>
      <c r="J12" s="15"/>
      <c r="K12" s="15">
        <f t="shared" ref="K12:K19" si="2">E12-I12</f>
        <v>10000</v>
      </c>
      <c r="L12" s="15">
        <v>0</v>
      </c>
      <c r="M12" s="15">
        <v>1581.44</v>
      </c>
      <c r="N12" s="15">
        <f>M12-L12</f>
        <v>1581.44</v>
      </c>
      <c r="O12" s="15">
        <v>0</v>
      </c>
      <c r="P12" s="15">
        <f t="shared" ref="P12:P19" si="3">E12*0.115</f>
        <v>1150</v>
      </c>
      <c r="Q12" s="15">
        <f>SUM(N12:P12)+G12</f>
        <v>6065.4400000000005</v>
      </c>
      <c r="R12" s="135">
        <f t="shared" ref="R12:R19" si="4">K12-Q12</f>
        <v>3934.5599999999995</v>
      </c>
      <c r="S12" s="11">
        <v>285.52999999999997</v>
      </c>
      <c r="T12" s="11">
        <v>2000</v>
      </c>
      <c r="U12" s="35">
        <f>S12+T12</f>
        <v>2285.5299999999997</v>
      </c>
    </row>
    <row r="13" spans="2:22" x14ac:dyDescent="0.25">
      <c r="B13" t="s">
        <v>33</v>
      </c>
      <c r="C13" s="11" t="s">
        <v>38</v>
      </c>
      <c r="D13" t="s">
        <v>74</v>
      </c>
      <c r="E13" s="15">
        <v>5350</v>
      </c>
      <c r="F13" s="29">
        <v>15</v>
      </c>
      <c r="G13" s="15"/>
      <c r="H13" s="15"/>
      <c r="I13" s="77"/>
      <c r="J13" s="19"/>
      <c r="K13" s="15">
        <f>E13-I13</f>
        <v>5350</v>
      </c>
      <c r="L13" s="15">
        <v>0</v>
      </c>
      <c r="M13" s="15">
        <v>586.75</v>
      </c>
      <c r="N13" s="15">
        <v>588.20000000000005</v>
      </c>
      <c r="O13" s="15">
        <v>0</v>
      </c>
      <c r="P13" s="15">
        <f t="shared" si="3"/>
        <v>615.25</v>
      </c>
      <c r="Q13" s="15">
        <f t="shared" ref="Q13:Q19" si="5">SUM(N13:P13)+G13</f>
        <v>1203.45</v>
      </c>
      <c r="R13" s="135">
        <f t="shared" si="4"/>
        <v>4146.55</v>
      </c>
      <c r="S13" s="11">
        <v>256.68</v>
      </c>
      <c r="T13" s="11">
        <v>1070</v>
      </c>
      <c r="U13" s="35">
        <f>S13+T13</f>
        <v>1326.68</v>
      </c>
    </row>
    <row r="14" spans="2:22" x14ac:dyDescent="0.25">
      <c r="B14" t="s">
        <v>34</v>
      </c>
      <c r="C14" s="11" t="s">
        <v>178</v>
      </c>
      <c r="D14" t="s">
        <v>179</v>
      </c>
      <c r="E14" s="15">
        <v>5350</v>
      </c>
      <c r="F14" s="29">
        <v>15</v>
      </c>
      <c r="G14" s="15"/>
      <c r="H14" s="20"/>
      <c r="I14" s="19"/>
      <c r="J14" s="19"/>
      <c r="K14" s="15">
        <f>+E14+H14</f>
        <v>5350</v>
      </c>
      <c r="L14" s="15">
        <v>0</v>
      </c>
      <c r="M14" s="15">
        <v>586.75</v>
      </c>
      <c r="N14" s="15">
        <v>588.20000000000005</v>
      </c>
      <c r="O14" s="15">
        <v>0</v>
      </c>
      <c r="P14" s="113"/>
      <c r="Q14" s="15">
        <f>SUM(N14:P14)+G14</f>
        <v>588.20000000000005</v>
      </c>
      <c r="R14" s="135">
        <f>K14-Q14</f>
        <v>4761.8</v>
      </c>
      <c r="S14" s="11">
        <v>256.68</v>
      </c>
      <c r="T14" s="11">
        <v>0</v>
      </c>
      <c r="U14" s="35">
        <f>S14+T14</f>
        <v>256.68</v>
      </c>
    </row>
    <row r="15" spans="2:22" x14ac:dyDescent="0.25">
      <c r="B15" t="s">
        <v>35</v>
      </c>
      <c r="C15" t="s">
        <v>111</v>
      </c>
      <c r="D15" t="s">
        <v>77</v>
      </c>
      <c r="E15" s="15">
        <v>6000</v>
      </c>
      <c r="F15" s="29">
        <v>15</v>
      </c>
      <c r="G15" s="15"/>
      <c r="H15" s="15"/>
      <c r="I15" s="15"/>
      <c r="J15" s="15"/>
      <c r="K15" s="15">
        <f t="shared" si="2"/>
        <v>6000</v>
      </c>
      <c r="L15" s="15">
        <v>0</v>
      </c>
      <c r="M15" s="15">
        <v>727.04</v>
      </c>
      <c r="N15" s="15">
        <f t="shared" ref="N15:N19" si="6">M15-L15</f>
        <v>727.04</v>
      </c>
      <c r="O15" s="15">
        <v>0</v>
      </c>
      <c r="P15" s="15">
        <f>E15*0.115</f>
        <v>690</v>
      </c>
      <c r="Q15" s="15">
        <f t="shared" si="5"/>
        <v>1417.04</v>
      </c>
      <c r="R15" s="135">
        <f t="shared" si="4"/>
        <v>4582.96</v>
      </c>
      <c r="S15" s="11">
        <v>260.72000000000003</v>
      </c>
      <c r="T15" s="11">
        <v>1200</v>
      </c>
      <c r="U15" s="35">
        <f>S15+T15</f>
        <v>1460.72</v>
      </c>
    </row>
    <row r="16" spans="2:22" x14ac:dyDescent="0.25">
      <c r="B16" t="s">
        <v>36</v>
      </c>
      <c r="C16" t="s">
        <v>86</v>
      </c>
      <c r="D16" t="s">
        <v>39</v>
      </c>
      <c r="E16" s="15">
        <v>4500</v>
      </c>
      <c r="F16" s="29">
        <v>15</v>
      </c>
      <c r="G16" s="128">
        <v>750</v>
      </c>
      <c r="H16" s="15"/>
      <c r="I16" s="15"/>
      <c r="J16" s="15"/>
      <c r="K16" s="15">
        <f t="shared" si="2"/>
        <v>4500</v>
      </c>
      <c r="L16" s="15">
        <v>0</v>
      </c>
      <c r="M16" s="15">
        <v>428.97</v>
      </c>
      <c r="N16" s="15">
        <f t="shared" si="6"/>
        <v>428.97</v>
      </c>
      <c r="O16" s="15">
        <v>0</v>
      </c>
      <c r="P16" s="15">
        <f t="shared" si="3"/>
        <v>517.5</v>
      </c>
      <c r="Q16" s="15">
        <f t="shared" si="5"/>
        <v>1696.47</v>
      </c>
      <c r="R16" s="135">
        <f t="shared" si="4"/>
        <v>2803.5299999999997</v>
      </c>
      <c r="S16" s="11">
        <v>251.41</v>
      </c>
      <c r="T16" s="11">
        <v>900</v>
      </c>
      <c r="U16" s="35">
        <f>S16+T16</f>
        <v>1151.4100000000001</v>
      </c>
    </row>
    <row r="17" spans="2:21" x14ac:dyDescent="0.25">
      <c r="B17" t="s">
        <v>115</v>
      </c>
      <c r="C17" t="s">
        <v>87</v>
      </c>
      <c r="D17" t="s">
        <v>39</v>
      </c>
      <c r="E17" s="15">
        <v>4500</v>
      </c>
      <c r="F17" s="29">
        <v>15</v>
      </c>
      <c r="G17" s="128">
        <v>610</v>
      </c>
      <c r="H17" s="15"/>
      <c r="I17" s="15"/>
      <c r="J17" s="15"/>
      <c r="K17" s="15">
        <f t="shared" si="2"/>
        <v>4500</v>
      </c>
      <c r="L17" s="15">
        <v>0</v>
      </c>
      <c r="M17" s="15">
        <v>428.97</v>
      </c>
      <c r="N17" s="15">
        <v>428.97</v>
      </c>
      <c r="O17" s="15">
        <v>0</v>
      </c>
      <c r="P17" s="15">
        <f t="shared" si="3"/>
        <v>517.5</v>
      </c>
      <c r="Q17" s="15">
        <f t="shared" si="5"/>
        <v>1556.47</v>
      </c>
      <c r="R17" s="135">
        <f t="shared" si="4"/>
        <v>2943.5299999999997</v>
      </c>
      <c r="S17" s="11">
        <v>251.41</v>
      </c>
      <c r="T17" s="11">
        <v>900</v>
      </c>
      <c r="U17" s="35">
        <f t="shared" ref="U17:U19" si="7">S17+T17</f>
        <v>1151.4100000000001</v>
      </c>
    </row>
    <row r="18" spans="2:21" x14ac:dyDescent="0.25">
      <c r="B18" t="s">
        <v>116</v>
      </c>
      <c r="C18" t="s">
        <v>89</v>
      </c>
      <c r="D18" t="s">
        <v>4</v>
      </c>
      <c r="E18" s="15">
        <v>2700</v>
      </c>
      <c r="F18" s="29">
        <v>15</v>
      </c>
      <c r="G18" s="128">
        <v>450</v>
      </c>
      <c r="H18" s="15"/>
      <c r="I18" s="15"/>
      <c r="J18" s="15"/>
      <c r="K18" s="15">
        <f t="shared" si="2"/>
        <v>2700</v>
      </c>
      <c r="L18" s="15">
        <v>147.32</v>
      </c>
      <c r="M18" s="15">
        <v>188.33</v>
      </c>
      <c r="N18" s="15">
        <f t="shared" si="6"/>
        <v>41.010000000000019</v>
      </c>
      <c r="O18" s="15">
        <v>0</v>
      </c>
      <c r="P18" s="20">
        <f t="shared" si="3"/>
        <v>310.5</v>
      </c>
      <c r="Q18" s="15">
        <f t="shared" si="5"/>
        <v>801.51</v>
      </c>
      <c r="R18" s="135">
        <f t="shared" si="4"/>
        <v>1898.49</v>
      </c>
      <c r="S18" s="11">
        <v>240.25</v>
      </c>
      <c r="T18" s="11">
        <v>540</v>
      </c>
      <c r="U18" s="35">
        <f t="shared" si="7"/>
        <v>780.25</v>
      </c>
    </row>
    <row r="19" spans="2:21" x14ac:dyDescent="0.25">
      <c r="B19" t="s">
        <v>117</v>
      </c>
      <c r="C19" t="s">
        <v>88</v>
      </c>
      <c r="D19" t="s">
        <v>40</v>
      </c>
      <c r="E19" s="15">
        <v>3150</v>
      </c>
      <c r="F19" s="29">
        <v>15</v>
      </c>
      <c r="G19" s="128">
        <v>525</v>
      </c>
      <c r="H19" s="15"/>
      <c r="I19" s="15"/>
      <c r="J19" s="15"/>
      <c r="K19" s="15">
        <f t="shared" si="2"/>
        <v>3150</v>
      </c>
      <c r="L19" s="15">
        <v>126.77</v>
      </c>
      <c r="M19" s="15">
        <v>237.29</v>
      </c>
      <c r="N19" s="15">
        <f t="shared" si="6"/>
        <v>110.52</v>
      </c>
      <c r="O19" s="15">
        <v>0</v>
      </c>
      <c r="P19" s="20">
        <f t="shared" si="3"/>
        <v>362.25</v>
      </c>
      <c r="Q19" s="15">
        <f t="shared" si="5"/>
        <v>997.77</v>
      </c>
      <c r="R19" s="135">
        <f t="shared" si="4"/>
        <v>2152.23</v>
      </c>
      <c r="S19" s="11">
        <v>243.04</v>
      </c>
      <c r="T19" s="11">
        <v>630</v>
      </c>
      <c r="U19" s="35">
        <f t="shared" si="7"/>
        <v>873.04</v>
      </c>
    </row>
    <row r="20" spans="2:21" x14ac:dyDescent="0.25">
      <c r="B20" s="2" t="s">
        <v>26</v>
      </c>
      <c r="C20" s="30"/>
      <c r="D20" s="30"/>
      <c r="E20" s="34">
        <f>SUM(E12:E19)</f>
        <v>41550</v>
      </c>
      <c r="F20" s="34"/>
      <c r="G20" s="34">
        <f>+G19+G18+G17+G16+G12</f>
        <v>5669</v>
      </c>
      <c r="H20" s="34"/>
      <c r="I20" s="34">
        <f t="shared" ref="I20:U20" si="8">SUM(I12:I19)</f>
        <v>0</v>
      </c>
      <c r="J20" s="34">
        <f t="shared" si="8"/>
        <v>0</v>
      </c>
      <c r="K20" s="34">
        <f t="shared" si="8"/>
        <v>41550</v>
      </c>
      <c r="L20" s="34">
        <f t="shared" si="8"/>
        <v>274.08999999999997</v>
      </c>
      <c r="M20" s="34">
        <f t="shared" si="8"/>
        <v>4765.54</v>
      </c>
      <c r="N20" s="34">
        <f t="shared" si="8"/>
        <v>4494.3500000000013</v>
      </c>
      <c r="O20" s="34">
        <f t="shared" si="8"/>
        <v>0</v>
      </c>
      <c r="P20" s="34">
        <f>SUM(P12:P19)</f>
        <v>4163</v>
      </c>
      <c r="Q20" s="34">
        <f t="shared" si="8"/>
        <v>14326.35</v>
      </c>
      <c r="R20" s="131">
        <f t="shared" si="8"/>
        <v>27223.649999999998</v>
      </c>
      <c r="S20" s="34">
        <f t="shared" si="8"/>
        <v>2045.7200000000003</v>
      </c>
      <c r="T20" s="34">
        <f t="shared" si="8"/>
        <v>7240</v>
      </c>
      <c r="U20" s="34">
        <f t="shared" si="8"/>
        <v>9285.7200000000012</v>
      </c>
    </row>
    <row r="21" spans="2:21" hidden="1" x14ac:dyDescent="0.25">
      <c r="B21" s="2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29"/>
    </row>
    <row r="22" spans="2:21" x14ac:dyDescent="0.25">
      <c r="B22" s="2" t="s">
        <v>50</v>
      </c>
      <c r="C22" s="2" t="s">
        <v>160</v>
      </c>
      <c r="E22" s="15"/>
      <c r="F22" s="15"/>
      <c r="G22" s="15"/>
      <c r="H22" s="15"/>
      <c r="I22" s="15"/>
      <c r="J22" s="15"/>
      <c r="K22" s="113"/>
      <c r="L22" s="113"/>
      <c r="M22" s="15"/>
      <c r="N22" s="15"/>
      <c r="O22" s="15"/>
      <c r="P22" s="15"/>
      <c r="Q22" s="15"/>
      <c r="R22" s="129"/>
    </row>
    <row r="23" spans="2:21" x14ac:dyDescent="0.25">
      <c r="B23" t="s">
        <v>119</v>
      </c>
      <c r="C23" t="s">
        <v>91</v>
      </c>
      <c r="D23" t="s">
        <v>76</v>
      </c>
      <c r="E23" s="15">
        <v>5350</v>
      </c>
      <c r="F23" s="29">
        <v>15</v>
      </c>
      <c r="G23" s="128">
        <v>892</v>
      </c>
      <c r="H23" s="15"/>
      <c r="I23" s="71">
        <v>8.5</v>
      </c>
      <c r="J23" s="15"/>
      <c r="K23" s="15">
        <f>E23-I23</f>
        <v>5341.5</v>
      </c>
      <c r="L23" s="15">
        <v>0</v>
      </c>
      <c r="M23" s="15">
        <v>453.47</v>
      </c>
      <c r="N23" s="15">
        <v>588.20000000000005</v>
      </c>
      <c r="O23" s="15">
        <v>0</v>
      </c>
      <c r="P23" s="20">
        <f>E23*0.115</f>
        <v>615.25</v>
      </c>
      <c r="Q23" s="15">
        <f>SUM(N23:P23)+G23</f>
        <v>2095.4499999999998</v>
      </c>
      <c r="R23" s="135">
        <f>K23-Q23</f>
        <v>3246.05</v>
      </c>
      <c r="S23" s="11">
        <v>256.68</v>
      </c>
      <c r="T23" s="11">
        <v>1070</v>
      </c>
      <c r="U23" s="35">
        <f>S23+T23</f>
        <v>1326.68</v>
      </c>
    </row>
    <row r="24" spans="2:21" x14ac:dyDescent="0.25">
      <c r="B24" t="s">
        <v>120</v>
      </c>
      <c r="C24" t="s">
        <v>93</v>
      </c>
      <c r="D24" t="s">
        <v>78</v>
      </c>
      <c r="E24" s="15">
        <v>5350</v>
      </c>
      <c r="F24" s="29">
        <v>15</v>
      </c>
      <c r="G24" s="128">
        <v>1115</v>
      </c>
      <c r="H24" s="15"/>
      <c r="I24" s="71"/>
      <c r="J24" s="15"/>
      <c r="K24" s="15">
        <f>E24-I24</f>
        <v>5350</v>
      </c>
      <c r="L24" s="15">
        <v>0</v>
      </c>
      <c r="M24" s="15">
        <v>588.20000000000005</v>
      </c>
      <c r="N24" s="15">
        <f>M24-L24</f>
        <v>588.20000000000005</v>
      </c>
      <c r="O24" s="15">
        <v>0</v>
      </c>
      <c r="P24" s="20">
        <f>E24*0.115</f>
        <v>615.25</v>
      </c>
      <c r="Q24" s="15">
        <f>SUM(N24:P24)+G24</f>
        <v>2318.4499999999998</v>
      </c>
      <c r="R24" s="135">
        <f>K24-Q24</f>
        <v>3031.55</v>
      </c>
      <c r="S24" s="11">
        <v>256.68</v>
      </c>
      <c r="T24" s="11">
        <v>1070</v>
      </c>
      <c r="U24" s="35">
        <f>S24+T24</f>
        <v>1326.68</v>
      </c>
    </row>
    <row r="25" spans="2:21" x14ac:dyDescent="0.25">
      <c r="B25" t="s">
        <v>121</v>
      </c>
      <c r="C25" t="s">
        <v>114</v>
      </c>
      <c r="D25" t="s">
        <v>186</v>
      </c>
      <c r="E25" s="15">
        <v>5350</v>
      </c>
      <c r="F25" s="29">
        <v>15</v>
      </c>
      <c r="G25" s="15"/>
      <c r="H25" s="15"/>
      <c r="I25" s="71"/>
      <c r="J25" s="15"/>
      <c r="K25" s="15">
        <f>E25-I25</f>
        <v>5350</v>
      </c>
      <c r="L25" s="15">
        <v>0</v>
      </c>
      <c r="M25" s="15">
        <v>588.20000000000005</v>
      </c>
      <c r="N25" s="15">
        <f>M25-L25</f>
        <v>588.20000000000005</v>
      </c>
      <c r="O25" s="15">
        <v>0</v>
      </c>
      <c r="P25" s="20">
        <f>E25*0.115</f>
        <v>615.25</v>
      </c>
      <c r="Q25" s="15">
        <f>SUM(N25:P25)+G25</f>
        <v>1203.45</v>
      </c>
      <c r="R25" s="135">
        <f>K25-Q25</f>
        <v>4146.55</v>
      </c>
      <c r="S25" s="11">
        <v>256.68</v>
      </c>
      <c r="T25" s="11">
        <v>1070</v>
      </c>
      <c r="U25" s="35">
        <f>S25+T25</f>
        <v>1326.68</v>
      </c>
    </row>
    <row r="26" spans="2:21" x14ac:dyDescent="0.25">
      <c r="B26" s="2" t="s">
        <v>26</v>
      </c>
      <c r="C26" s="30"/>
      <c r="D26" s="30"/>
      <c r="E26" s="34">
        <f>SUM(E23:E25)</f>
        <v>16050</v>
      </c>
      <c r="F26" s="34"/>
      <c r="G26" s="34">
        <f>+G25+G24+G23</f>
        <v>2007</v>
      </c>
      <c r="H26" s="34"/>
      <c r="I26" s="34">
        <f>SUM(I23:I25)</f>
        <v>8.5</v>
      </c>
      <c r="J26" s="34">
        <f>SUM(J23:J25)</f>
        <v>0</v>
      </c>
      <c r="K26" s="34">
        <f t="shared" ref="K26:U26" si="9">SUM(K23:K25)</f>
        <v>16041.5</v>
      </c>
      <c r="L26" s="34">
        <f t="shared" si="9"/>
        <v>0</v>
      </c>
      <c r="M26" s="34">
        <f t="shared" si="9"/>
        <v>1629.8700000000001</v>
      </c>
      <c r="N26" s="34">
        <f t="shared" si="9"/>
        <v>1764.6000000000001</v>
      </c>
      <c r="O26" s="34">
        <f t="shared" si="9"/>
        <v>0</v>
      </c>
      <c r="P26" s="34">
        <f>SUM(P23:P25)</f>
        <v>1845.75</v>
      </c>
      <c r="Q26" s="34">
        <f t="shared" si="9"/>
        <v>5617.3499999999995</v>
      </c>
      <c r="R26" s="131">
        <f t="shared" si="9"/>
        <v>10424.150000000001</v>
      </c>
      <c r="S26" s="34">
        <f t="shared" si="9"/>
        <v>770.04</v>
      </c>
      <c r="T26" s="34">
        <f t="shared" si="9"/>
        <v>3210</v>
      </c>
      <c r="U26" s="34">
        <f t="shared" si="9"/>
        <v>3980.04</v>
      </c>
    </row>
    <row r="27" spans="2:21" hidden="1" x14ac:dyDescent="0.25"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29"/>
    </row>
    <row r="28" spans="2:21" x14ac:dyDescent="0.25">
      <c r="B28" s="2" t="s">
        <v>63</v>
      </c>
      <c r="C28" s="2" t="s">
        <v>51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29"/>
    </row>
    <row r="29" spans="2:21" x14ac:dyDescent="0.25">
      <c r="B29" t="s">
        <v>122</v>
      </c>
      <c r="C29" t="s">
        <v>97</v>
      </c>
      <c r="D29" t="s">
        <v>80</v>
      </c>
      <c r="E29" s="15">
        <v>5350</v>
      </c>
      <c r="F29" s="29">
        <v>15</v>
      </c>
      <c r="G29" s="15"/>
      <c r="H29" s="15"/>
      <c r="I29" s="71"/>
      <c r="J29" s="15"/>
      <c r="K29" s="15">
        <f t="shared" ref="K29:K39" si="10">E29-I29</f>
        <v>5350</v>
      </c>
      <c r="L29" s="15">
        <v>0</v>
      </c>
      <c r="M29" s="15">
        <v>588.20000000000005</v>
      </c>
      <c r="N29" s="15">
        <f>M29-L29</f>
        <v>588.20000000000005</v>
      </c>
      <c r="O29" s="15">
        <v>0</v>
      </c>
      <c r="P29" s="20">
        <f>E29*0.115</f>
        <v>615.25</v>
      </c>
      <c r="Q29" s="15">
        <f t="shared" ref="Q29:Q39" si="11">SUM(N29:P29)+G29</f>
        <v>1203.45</v>
      </c>
      <c r="R29" s="135">
        <f t="shared" ref="R29:R39" si="12">K29-Q29</f>
        <v>4146.55</v>
      </c>
      <c r="S29" s="11">
        <v>256.68</v>
      </c>
      <c r="T29" s="11">
        <v>1070</v>
      </c>
      <c r="U29" s="35">
        <f t="shared" ref="U29:U39" si="13">S29+T29</f>
        <v>1326.68</v>
      </c>
    </row>
    <row r="30" spans="2:21" x14ac:dyDescent="0.25">
      <c r="B30" t="s">
        <v>123</v>
      </c>
      <c r="C30" t="s">
        <v>100</v>
      </c>
      <c r="D30" t="s">
        <v>80</v>
      </c>
      <c r="E30" s="15">
        <v>5350</v>
      </c>
      <c r="F30" s="29">
        <v>15</v>
      </c>
      <c r="G30" s="15"/>
      <c r="H30" s="15"/>
      <c r="I30" s="77"/>
      <c r="J30" s="20"/>
      <c r="K30" s="20">
        <f t="shared" si="10"/>
        <v>5350</v>
      </c>
      <c r="L30" s="20">
        <v>0</v>
      </c>
      <c r="M30" s="20">
        <v>587.48</v>
      </c>
      <c r="N30" s="20">
        <v>588.20000000000005</v>
      </c>
      <c r="O30" s="15">
        <v>0</v>
      </c>
      <c r="P30" s="20">
        <f t="shared" ref="P30:P39" si="14">E30*0.115</f>
        <v>615.25</v>
      </c>
      <c r="Q30" s="15">
        <f t="shared" si="11"/>
        <v>1203.45</v>
      </c>
      <c r="R30" s="135">
        <f t="shared" si="12"/>
        <v>4146.55</v>
      </c>
      <c r="S30" s="11">
        <v>256.68</v>
      </c>
      <c r="T30" s="11">
        <v>1070</v>
      </c>
      <c r="U30" s="35">
        <f t="shared" si="13"/>
        <v>1326.68</v>
      </c>
    </row>
    <row r="31" spans="2:21" x14ac:dyDescent="0.25">
      <c r="B31" t="s">
        <v>124</v>
      </c>
      <c r="C31" t="s">
        <v>96</v>
      </c>
      <c r="D31" t="s">
        <v>78</v>
      </c>
      <c r="E31" s="15">
        <v>5350</v>
      </c>
      <c r="F31" s="29">
        <v>15</v>
      </c>
      <c r="G31" s="15"/>
      <c r="H31" s="15"/>
      <c r="I31" s="20"/>
      <c r="J31" s="20"/>
      <c r="K31" s="20">
        <f t="shared" si="10"/>
        <v>5350</v>
      </c>
      <c r="L31" s="20">
        <v>0</v>
      </c>
      <c r="M31" s="20">
        <v>588.20000000000005</v>
      </c>
      <c r="N31" s="20">
        <f t="shared" ref="N31:N39" si="15">M31-L31</f>
        <v>588.20000000000005</v>
      </c>
      <c r="O31" s="15">
        <v>0</v>
      </c>
      <c r="P31" s="20">
        <f t="shared" si="14"/>
        <v>615.25</v>
      </c>
      <c r="Q31" s="15">
        <f t="shared" si="11"/>
        <v>1203.45</v>
      </c>
      <c r="R31" s="135">
        <f t="shared" si="12"/>
        <v>4146.55</v>
      </c>
      <c r="S31" s="11">
        <v>256.68</v>
      </c>
      <c r="T31" s="11">
        <v>1070</v>
      </c>
      <c r="U31" s="35">
        <f t="shared" si="13"/>
        <v>1326.68</v>
      </c>
    </row>
    <row r="32" spans="2:21" x14ac:dyDescent="0.25">
      <c r="B32" t="s">
        <v>125</v>
      </c>
      <c r="C32" t="s">
        <v>104</v>
      </c>
      <c r="D32" t="s">
        <v>78</v>
      </c>
      <c r="E32" s="15">
        <v>5350</v>
      </c>
      <c r="F32" s="29">
        <v>15</v>
      </c>
      <c r="G32" s="15"/>
      <c r="H32" s="15"/>
      <c r="I32" s="77"/>
      <c r="J32" s="20"/>
      <c r="K32" s="20">
        <f t="shared" si="10"/>
        <v>5350</v>
      </c>
      <c r="L32" s="20">
        <v>0</v>
      </c>
      <c r="M32" s="20">
        <v>588.20000000000005</v>
      </c>
      <c r="N32" s="20">
        <f t="shared" si="15"/>
        <v>588.20000000000005</v>
      </c>
      <c r="O32" s="15">
        <v>0</v>
      </c>
      <c r="P32" s="20">
        <f t="shared" si="14"/>
        <v>615.25</v>
      </c>
      <c r="Q32" s="15">
        <f t="shared" si="11"/>
        <v>1203.45</v>
      </c>
      <c r="R32" s="135">
        <f t="shared" si="12"/>
        <v>4146.55</v>
      </c>
      <c r="S32" s="11">
        <v>256.68</v>
      </c>
      <c r="T32" s="11">
        <v>1070</v>
      </c>
      <c r="U32" s="35">
        <f t="shared" si="13"/>
        <v>1326.68</v>
      </c>
    </row>
    <row r="33" spans="2:21" x14ac:dyDescent="0.25">
      <c r="B33" t="s">
        <v>126</v>
      </c>
      <c r="C33" t="s">
        <v>94</v>
      </c>
      <c r="D33" t="s">
        <v>81</v>
      </c>
      <c r="E33" s="15">
        <v>5350</v>
      </c>
      <c r="F33" s="29">
        <v>15</v>
      </c>
      <c r="G33" s="128">
        <v>595</v>
      </c>
      <c r="H33" s="15"/>
      <c r="I33" s="77"/>
      <c r="J33" s="20"/>
      <c r="K33" s="20">
        <f>E33-I33</f>
        <v>5350</v>
      </c>
      <c r="L33" s="20">
        <v>0</v>
      </c>
      <c r="M33" s="20">
        <v>517.23</v>
      </c>
      <c r="N33" s="20">
        <v>588.02</v>
      </c>
      <c r="O33" s="15">
        <v>0</v>
      </c>
      <c r="P33" s="20">
        <f t="shared" si="14"/>
        <v>615.25</v>
      </c>
      <c r="Q33" s="15">
        <f t="shared" si="11"/>
        <v>1798.27</v>
      </c>
      <c r="R33" s="135">
        <f>K33-Q33</f>
        <v>3551.73</v>
      </c>
      <c r="S33" s="11">
        <v>256.68</v>
      </c>
      <c r="T33" s="11">
        <v>1070</v>
      </c>
      <c r="U33" s="35">
        <f t="shared" si="13"/>
        <v>1326.68</v>
      </c>
    </row>
    <row r="34" spans="2:21" x14ac:dyDescent="0.25">
      <c r="B34" t="s">
        <v>127</v>
      </c>
      <c r="C34" t="s">
        <v>98</v>
      </c>
      <c r="D34" t="s">
        <v>81</v>
      </c>
      <c r="E34" s="15">
        <v>5350</v>
      </c>
      <c r="F34" s="29">
        <v>15</v>
      </c>
      <c r="G34" s="15"/>
      <c r="H34" s="20"/>
      <c r="I34" s="77"/>
      <c r="J34" s="20"/>
      <c r="K34" s="20">
        <f>E34-I34</f>
        <v>5350</v>
      </c>
      <c r="L34" s="20">
        <v>0</v>
      </c>
      <c r="M34" s="20">
        <v>588.20000000000005</v>
      </c>
      <c r="N34" s="20">
        <f t="shared" si="15"/>
        <v>588.20000000000005</v>
      </c>
      <c r="O34" s="15">
        <v>0</v>
      </c>
      <c r="P34" s="20">
        <f>E34*0.115</f>
        <v>615.25</v>
      </c>
      <c r="Q34" s="15">
        <f>SUM(N34:P34)+G34</f>
        <v>1203.45</v>
      </c>
      <c r="R34" s="135">
        <f>K34-Q34</f>
        <v>4146.55</v>
      </c>
      <c r="S34" s="11">
        <v>256.68</v>
      </c>
      <c r="T34" s="11">
        <v>1070</v>
      </c>
      <c r="U34" s="35">
        <f t="shared" si="13"/>
        <v>1326.68</v>
      </c>
    </row>
    <row r="35" spans="2:21" x14ac:dyDescent="0.25">
      <c r="B35" t="s">
        <v>128</v>
      </c>
      <c r="C35" t="s">
        <v>101</v>
      </c>
      <c r="D35" t="s">
        <v>81</v>
      </c>
      <c r="E35" s="15">
        <v>5350</v>
      </c>
      <c r="F35" s="29">
        <v>15</v>
      </c>
      <c r="G35" s="15"/>
      <c r="H35" s="15"/>
      <c r="I35" s="71"/>
      <c r="J35" s="20"/>
      <c r="K35" s="20">
        <f>E35-I35</f>
        <v>5350</v>
      </c>
      <c r="L35" s="20">
        <v>0</v>
      </c>
      <c r="M35" s="15">
        <v>588.20000000000005</v>
      </c>
      <c r="N35" s="15">
        <f>M35-L35</f>
        <v>588.20000000000005</v>
      </c>
      <c r="O35" s="15">
        <v>0</v>
      </c>
      <c r="P35" s="20">
        <f t="shared" si="14"/>
        <v>615.25</v>
      </c>
      <c r="Q35" s="15">
        <f>SUM(N35:P35)+G35</f>
        <v>1203.45</v>
      </c>
      <c r="R35" s="135">
        <f>K35-Q35</f>
        <v>4146.55</v>
      </c>
      <c r="S35" s="11">
        <v>256.68</v>
      </c>
      <c r="T35" s="11">
        <v>1070</v>
      </c>
      <c r="U35" s="35">
        <f t="shared" si="13"/>
        <v>1326.68</v>
      </c>
    </row>
    <row r="36" spans="2:21" x14ac:dyDescent="0.25">
      <c r="B36" t="s">
        <v>129</v>
      </c>
      <c r="C36" t="s">
        <v>95</v>
      </c>
      <c r="D36" t="s">
        <v>82</v>
      </c>
      <c r="E36" s="15">
        <v>5350</v>
      </c>
      <c r="F36" s="29">
        <v>15</v>
      </c>
      <c r="G36" s="128">
        <v>1190</v>
      </c>
      <c r="H36" s="15"/>
      <c r="I36" s="15"/>
      <c r="J36" s="15"/>
      <c r="K36" s="15">
        <f t="shared" si="10"/>
        <v>5350</v>
      </c>
      <c r="L36" s="15">
        <v>0</v>
      </c>
      <c r="M36" s="15">
        <v>588.20000000000005</v>
      </c>
      <c r="N36" s="15">
        <f t="shared" si="15"/>
        <v>588.20000000000005</v>
      </c>
      <c r="O36" s="15">
        <v>0</v>
      </c>
      <c r="P36" s="20">
        <f t="shared" si="14"/>
        <v>615.25</v>
      </c>
      <c r="Q36" s="15">
        <f t="shared" si="11"/>
        <v>2393.4499999999998</v>
      </c>
      <c r="R36" s="135">
        <f t="shared" si="12"/>
        <v>2956.55</v>
      </c>
      <c r="S36" s="11">
        <v>256.68</v>
      </c>
      <c r="T36" s="11">
        <v>1070</v>
      </c>
      <c r="U36" s="35">
        <f t="shared" si="13"/>
        <v>1326.68</v>
      </c>
    </row>
    <row r="37" spans="2:21" x14ac:dyDescent="0.25">
      <c r="B37" t="s">
        <v>130</v>
      </c>
      <c r="C37" t="s">
        <v>102</v>
      </c>
      <c r="D37" t="s">
        <v>82</v>
      </c>
      <c r="E37" s="15">
        <v>5350</v>
      </c>
      <c r="F37" s="29">
        <v>15</v>
      </c>
      <c r="G37" s="128">
        <v>927.62</v>
      </c>
      <c r="H37" s="15"/>
      <c r="I37" s="15"/>
      <c r="J37" s="15"/>
      <c r="K37" s="15">
        <f t="shared" si="10"/>
        <v>5350</v>
      </c>
      <c r="L37" s="15">
        <v>0</v>
      </c>
      <c r="M37" s="15">
        <v>586.03</v>
      </c>
      <c r="N37" s="15">
        <v>588.20000000000005</v>
      </c>
      <c r="O37" s="15">
        <v>0</v>
      </c>
      <c r="P37" s="20">
        <f t="shared" si="14"/>
        <v>615.25</v>
      </c>
      <c r="Q37" s="15">
        <f>SUM(N37:P37)+G37</f>
        <v>2131.0700000000002</v>
      </c>
      <c r="R37" s="135">
        <f t="shared" si="12"/>
        <v>3218.93</v>
      </c>
      <c r="S37" s="11">
        <v>256.68</v>
      </c>
      <c r="T37" s="11">
        <v>1070</v>
      </c>
      <c r="U37" s="35">
        <f t="shared" si="13"/>
        <v>1326.68</v>
      </c>
    </row>
    <row r="38" spans="2:21" x14ac:dyDescent="0.25">
      <c r="B38" t="s">
        <v>131</v>
      </c>
      <c r="C38" t="s">
        <v>85</v>
      </c>
      <c r="D38" t="s">
        <v>83</v>
      </c>
      <c r="E38" s="15">
        <v>5350</v>
      </c>
      <c r="F38" s="29">
        <v>15</v>
      </c>
      <c r="G38" s="128">
        <v>1784</v>
      </c>
      <c r="H38" s="15"/>
      <c r="I38" s="15"/>
      <c r="J38" s="15"/>
      <c r="K38" s="15">
        <f t="shared" si="10"/>
        <v>5350</v>
      </c>
      <c r="L38" s="15">
        <v>0</v>
      </c>
      <c r="M38" s="15">
        <v>588.20000000000005</v>
      </c>
      <c r="N38" s="15">
        <f t="shared" si="15"/>
        <v>588.20000000000005</v>
      </c>
      <c r="O38" s="15">
        <v>0</v>
      </c>
      <c r="P38" s="20">
        <f t="shared" si="14"/>
        <v>615.25</v>
      </c>
      <c r="Q38" s="15">
        <f t="shared" si="11"/>
        <v>2987.45</v>
      </c>
      <c r="R38" s="135">
        <f t="shared" si="12"/>
        <v>2362.5500000000002</v>
      </c>
      <c r="S38" s="11">
        <v>256.68</v>
      </c>
      <c r="T38" s="11">
        <v>1070</v>
      </c>
      <c r="U38" s="35">
        <f t="shared" si="13"/>
        <v>1326.68</v>
      </c>
    </row>
    <row r="39" spans="2:21" x14ac:dyDescent="0.25">
      <c r="B39" t="s">
        <v>132</v>
      </c>
      <c r="C39" t="s">
        <v>103</v>
      </c>
      <c r="D39" t="s">
        <v>83</v>
      </c>
      <c r="E39" s="15">
        <v>5350</v>
      </c>
      <c r="F39" s="29">
        <v>15</v>
      </c>
      <c r="G39" s="128">
        <v>1900</v>
      </c>
      <c r="H39" s="15"/>
      <c r="I39" s="71"/>
      <c r="J39" s="15"/>
      <c r="K39" s="15">
        <f t="shared" si="10"/>
        <v>5350</v>
      </c>
      <c r="L39" s="15">
        <v>0</v>
      </c>
      <c r="M39" s="15">
        <v>588.20000000000005</v>
      </c>
      <c r="N39" s="15">
        <f t="shared" si="15"/>
        <v>588.20000000000005</v>
      </c>
      <c r="O39" s="15">
        <v>0</v>
      </c>
      <c r="P39" s="20">
        <f t="shared" si="14"/>
        <v>615.25</v>
      </c>
      <c r="Q39" s="15">
        <f t="shared" si="11"/>
        <v>3103.45</v>
      </c>
      <c r="R39" s="135">
        <f t="shared" si="12"/>
        <v>2246.5500000000002</v>
      </c>
      <c r="S39" s="11">
        <v>256.68</v>
      </c>
      <c r="T39" s="11">
        <v>1070</v>
      </c>
      <c r="U39" s="35">
        <f t="shared" si="13"/>
        <v>1326.68</v>
      </c>
    </row>
    <row r="40" spans="2:21" x14ac:dyDescent="0.25">
      <c r="B40" s="2" t="s">
        <v>26</v>
      </c>
      <c r="C40" s="30"/>
      <c r="D40" s="30"/>
      <c r="E40" s="34">
        <f>SUM(E29:E39)</f>
        <v>58850</v>
      </c>
      <c r="F40" s="34"/>
      <c r="G40" s="34">
        <f>+G39+G38+G37+G36+G35+G34+G33</f>
        <v>6396.62</v>
      </c>
      <c r="H40" s="34"/>
      <c r="I40" s="34">
        <f>SUM(I29:I39)</f>
        <v>0</v>
      </c>
      <c r="J40" s="34">
        <f>SUM(J29:J39)</f>
        <v>0</v>
      </c>
      <c r="K40" s="34">
        <f>SUM(K29:K39)</f>
        <v>58850</v>
      </c>
      <c r="L40" s="34">
        <f t="shared" ref="L40:U40" si="16">SUM(L29:L39)</f>
        <v>0</v>
      </c>
      <c r="M40" s="34">
        <f t="shared" si="16"/>
        <v>6396.3399999999992</v>
      </c>
      <c r="N40" s="34">
        <f t="shared" si="16"/>
        <v>6470.0199999999995</v>
      </c>
      <c r="O40" s="34">
        <f t="shared" si="16"/>
        <v>0</v>
      </c>
      <c r="P40" s="34">
        <f>SUM(P29:P39)</f>
        <v>6767.75</v>
      </c>
      <c r="Q40" s="34">
        <f t="shared" si="16"/>
        <v>19634.39</v>
      </c>
      <c r="R40" s="131">
        <f t="shared" si="16"/>
        <v>39215.61</v>
      </c>
      <c r="S40" s="34">
        <f t="shared" si="16"/>
        <v>2823.4799999999996</v>
      </c>
      <c r="T40" s="34">
        <f t="shared" si="16"/>
        <v>11770</v>
      </c>
      <c r="U40" s="34">
        <f t="shared" si="16"/>
        <v>14593.480000000001</v>
      </c>
    </row>
    <row r="41" spans="2:21" hidden="1" x14ac:dyDescent="0.25"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29"/>
    </row>
    <row r="42" spans="2:21" x14ac:dyDescent="0.25">
      <c r="B42" s="2" t="s">
        <v>140</v>
      </c>
      <c r="C42" s="2" t="s">
        <v>64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29"/>
    </row>
    <row r="43" spans="2:21" x14ac:dyDescent="0.25">
      <c r="B43" t="s">
        <v>133</v>
      </c>
      <c r="C43" t="s">
        <v>99</v>
      </c>
      <c r="D43" t="s">
        <v>80</v>
      </c>
      <c r="E43" s="15">
        <v>5350</v>
      </c>
      <c r="F43" s="29">
        <v>15</v>
      </c>
      <c r="G43" s="15"/>
      <c r="H43" s="15"/>
      <c r="I43" s="77"/>
      <c r="J43" s="20"/>
      <c r="K43" s="20">
        <f>E43-I43</f>
        <v>5350</v>
      </c>
      <c r="L43" s="20">
        <v>0</v>
      </c>
      <c r="M43" s="20">
        <v>586.21</v>
      </c>
      <c r="N43" s="20">
        <v>588.20000000000005</v>
      </c>
      <c r="O43" s="15">
        <v>0</v>
      </c>
      <c r="P43" s="15">
        <f t="shared" ref="P43" si="17">E43*0.115</f>
        <v>615.25</v>
      </c>
      <c r="Q43" s="15">
        <f>SUM(N43:P43)+G43</f>
        <v>1203.45</v>
      </c>
      <c r="R43" s="135">
        <f>K43-Q43</f>
        <v>4146.55</v>
      </c>
      <c r="S43" s="11">
        <v>256.68</v>
      </c>
      <c r="T43" s="11">
        <v>1070</v>
      </c>
      <c r="U43" s="35">
        <f t="shared" ref="U43:U44" si="18">S43+T43</f>
        <v>1326.68</v>
      </c>
    </row>
    <row r="44" spans="2:21" x14ac:dyDescent="0.25">
      <c r="B44" t="s">
        <v>152</v>
      </c>
      <c r="C44" t="s">
        <v>92</v>
      </c>
      <c r="D44" t="s">
        <v>80</v>
      </c>
      <c r="E44" s="15">
        <v>5350</v>
      </c>
      <c r="F44" s="29">
        <v>15</v>
      </c>
      <c r="G44" s="15"/>
      <c r="H44" s="15"/>
      <c r="I44" s="15"/>
      <c r="J44" s="15"/>
      <c r="K44" s="15">
        <f>E44-I44</f>
        <v>5350</v>
      </c>
      <c r="L44" s="15">
        <v>0</v>
      </c>
      <c r="M44" s="15">
        <v>588.20000000000005</v>
      </c>
      <c r="N44" s="15">
        <v>588.20000000000005</v>
      </c>
      <c r="O44" s="15">
        <v>0</v>
      </c>
      <c r="P44" s="15">
        <f>K44*0.115</f>
        <v>615.25</v>
      </c>
      <c r="Q44" s="15">
        <f>SUM(N44:P44)+G44</f>
        <v>1203.45</v>
      </c>
      <c r="R44" s="135">
        <f>K44-Q44</f>
        <v>4146.55</v>
      </c>
      <c r="S44" s="11">
        <v>256.68</v>
      </c>
      <c r="T44" s="11">
        <v>1070</v>
      </c>
      <c r="U44" s="35">
        <f t="shared" si="18"/>
        <v>1326.68</v>
      </c>
    </row>
    <row r="45" spans="2:21" x14ac:dyDescent="0.25">
      <c r="B45" s="2" t="s">
        <v>26</v>
      </c>
      <c r="C45" s="30"/>
      <c r="D45" s="30"/>
      <c r="E45" s="34">
        <f>E43+E44</f>
        <v>10700</v>
      </c>
      <c r="F45" s="34"/>
      <c r="G45" s="34">
        <f>+G44+G43</f>
        <v>0</v>
      </c>
      <c r="H45" s="34"/>
      <c r="I45" s="34">
        <f>I43+I44</f>
        <v>0</v>
      </c>
      <c r="J45" s="34">
        <f>J43+J44</f>
        <v>0</v>
      </c>
      <c r="K45" s="34">
        <f t="shared" ref="K45:U45" si="19">K43+K44</f>
        <v>10700</v>
      </c>
      <c r="L45" s="34">
        <f t="shared" si="19"/>
        <v>0</v>
      </c>
      <c r="M45" s="34">
        <f t="shared" si="19"/>
        <v>1174.4100000000001</v>
      </c>
      <c r="N45" s="34">
        <f t="shared" si="19"/>
        <v>1176.4000000000001</v>
      </c>
      <c r="O45" s="34">
        <f t="shared" si="19"/>
        <v>0</v>
      </c>
      <c r="P45" s="34">
        <f>P43+P44</f>
        <v>1230.5</v>
      </c>
      <c r="Q45" s="34">
        <f t="shared" si="19"/>
        <v>2406.9</v>
      </c>
      <c r="R45" s="131">
        <f t="shared" si="19"/>
        <v>8293.1</v>
      </c>
      <c r="S45" s="34">
        <f t="shared" si="19"/>
        <v>513.36</v>
      </c>
      <c r="T45" s="34">
        <f t="shared" si="19"/>
        <v>2140</v>
      </c>
      <c r="U45" s="34">
        <f t="shared" si="19"/>
        <v>2653.36</v>
      </c>
    </row>
    <row r="46" spans="2:21" hidden="1" x14ac:dyDescent="0.25">
      <c r="B46" s="2"/>
      <c r="E46" s="15"/>
      <c r="F46" s="15"/>
      <c r="G46" s="15"/>
      <c r="H46" s="15"/>
      <c r="I46" s="15"/>
      <c r="J46" s="15"/>
      <c r="K46" s="16"/>
      <c r="L46" s="16"/>
      <c r="M46" s="16"/>
      <c r="N46" s="16"/>
      <c r="O46" s="16"/>
      <c r="P46" s="16"/>
      <c r="Q46" s="16"/>
      <c r="R46" s="132"/>
      <c r="S46" s="8"/>
      <c r="T46" s="8"/>
      <c r="U46" s="8"/>
    </row>
    <row r="47" spans="2:21" x14ac:dyDescent="0.25">
      <c r="B47" s="2" t="s">
        <v>161</v>
      </c>
      <c r="C47" s="2" t="s">
        <v>162</v>
      </c>
      <c r="E47" s="15"/>
      <c r="F47" s="15"/>
      <c r="G47" s="15"/>
      <c r="H47" s="15"/>
      <c r="I47" s="15"/>
      <c r="J47" s="15"/>
      <c r="K47" s="16"/>
      <c r="L47" s="16"/>
      <c r="M47" s="16"/>
      <c r="N47" s="16"/>
      <c r="O47" s="16"/>
      <c r="P47" s="16"/>
      <c r="Q47" s="16"/>
      <c r="R47" s="132"/>
      <c r="S47" s="8"/>
      <c r="T47" s="8"/>
      <c r="U47" s="8"/>
    </row>
    <row r="48" spans="2:21" x14ac:dyDescent="0.25">
      <c r="B48" t="s">
        <v>163</v>
      </c>
      <c r="C48" s="11" t="s">
        <v>42</v>
      </c>
      <c r="D48" t="s">
        <v>2</v>
      </c>
      <c r="E48" s="15">
        <v>10000</v>
      </c>
      <c r="F48" s="29">
        <v>15</v>
      </c>
      <c r="G48" s="15"/>
      <c r="H48" s="15"/>
      <c r="I48" s="15"/>
      <c r="J48" s="15"/>
      <c r="K48" s="15">
        <f>E48-I48</f>
        <v>10000</v>
      </c>
      <c r="L48" s="15">
        <v>0</v>
      </c>
      <c r="M48" s="15">
        <v>1581.44</v>
      </c>
      <c r="N48" s="15">
        <f>M48-L48</f>
        <v>1581.44</v>
      </c>
      <c r="O48" s="15">
        <v>0</v>
      </c>
      <c r="P48" s="15">
        <f>E48*0.115</f>
        <v>1150</v>
      </c>
      <c r="Q48" s="15">
        <f>SUM(N48:P48)+G48</f>
        <v>2731.44</v>
      </c>
      <c r="R48" s="135">
        <f>K48-Q48</f>
        <v>7268.5599999999995</v>
      </c>
      <c r="S48" s="11">
        <v>285.52999999999997</v>
      </c>
      <c r="T48" s="11">
        <v>2000</v>
      </c>
      <c r="U48" s="35">
        <f>S48+T48</f>
        <v>2285.5299999999997</v>
      </c>
    </row>
    <row r="49" spans="2:21" x14ac:dyDescent="0.25">
      <c r="B49" s="2" t="s">
        <v>26</v>
      </c>
      <c r="E49" s="34">
        <f>E48</f>
        <v>10000</v>
      </c>
      <c r="F49" s="34"/>
      <c r="G49" s="34">
        <f>+G48</f>
        <v>0</v>
      </c>
      <c r="H49" s="34"/>
      <c r="I49" s="34">
        <f>I48</f>
        <v>0</v>
      </c>
      <c r="J49" s="34">
        <f>J48</f>
        <v>0</v>
      </c>
      <c r="K49" s="34">
        <f t="shared" ref="K49:U49" si="20">K48</f>
        <v>10000</v>
      </c>
      <c r="L49" s="34">
        <f t="shared" si="20"/>
        <v>0</v>
      </c>
      <c r="M49" s="34">
        <f t="shared" si="20"/>
        <v>1581.44</v>
      </c>
      <c r="N49" s="34">
        <f t="shared" si="20"/>
        <v>1581.44</v>
      </c>
      <c r="O49" s="34">
        <f t="shared" si="20"/>
        <v>0</v>
      </c>
      <c r="P49" s="34">
        <f>P48</f>
        <v>1150</v>
      </c>
      <c r="Q49" s="34">
        <f t="shared" si="20"/>
        <v>2731.44</v>
      </c>
      <c r="R49" s="131">
        <f t="shared" si="20"/>
        <v>7268.5599999999995</v>
      </c>
      <c r="S49" s="34">
        <f t="shared" si="20"/>
        <v>285.52999999999997</v>
      </c>
      <c r="T49" s="34">
        <f t="shared" si="20"/>
        <v>2000</v>
      </c>
      <c r="U49" s="34">
        <f t="shared" si="20"/>
        <v>2285.5299999999997</v>
      </c>
    </row>
    <row r="50" spans="2:21" ht="12" customHeight="1" x14ac:dyDescent="0.25">
      <c r="B50" s="2"/>
      <c r="E50" s="15"/>
      <c r="F50" s="15"/>
      <c r="G50" s="15"/>
      <c r="H50" s="15"/>
      <c r="I50" s="15"/>
      <c r="J50" s="15"/>
      <c r="K50" s="16"/>
      <c r="L50" s="16"/>
      <c r="M50" s="16"/>
      <c r="N50" s="16"/>
      <c r="O50" s="16"/>
      <c r="P50" s="16"/>
      <c r="Q50" s="16"/>
      <c r="R50" s="132"/>
      <c r="S50" s="8"/>
      <c r="T50" s="8"/>
      <c r="U50" s="8"/>
    </row>
    <row r="51" spans="2:21" hidden="1" x14ac:dyDescent="0.25"/>
    <row r="52" spans="2:21" ht="18.75" x14ac:dyDescent="0.3">
      <c r="C52" s="53" t="s">
        <v>105</v>
      </c>
      <c r="E52" s="17">
        <f>E9+E20+E26+E40+E45+E49</f>
        <v>158954.95000000001</v>
      </c>
      <c r="F52" s="17"/>
      <c r="G52" s="17">
        <f>G9+G20+G26+G40+G45+G49</f>
        <v>17581.62</v>
      </c>
      <c r="H52" s="17"/>
      <c r="I52" s="17">
        <f>I9+I20+I26+I40+I45+I49</f>
        <v>8.5</v>
      </c>
      <c r="J52" s="17">
        <f t="shared" ref="J52:U52" si="21">J9+J20+J26+J40+J45+J49</f>
        <v>0</v>
      </c>
      <c r="K52" s="17">
        <f>K9+K20+K26+K40+K45+K49</f>
        <v>158946.45000000001</v>
      </c>
      <c r="L52" s="17">
        <f t="shared" si="21"/>
        <v>274.08999999999997</v>
      </c>
      <c r="M52" s="17">
        <f t="shared" si="21"/>
        <v>19286.219999999998</v>
      </c>
      <c r="N52" s="17">
        <f t="shared" si="21"/>
        <v>19225.43</v>
      </c>
      <c r="O52" s="17">
        <f t="shared" si="21"/>
        <v>0</v>
      </c>
      <c r="P52" s="17">
        <f>P9+P20+P26+P40+P45+P49</f>
        <v>17664.56925</v>
      </c>
      <c r="Q52" s="17">
        <f t="shared" si="21"/>
        <v>54471.619250000003</v>
      </c>
      <c r="R52" s="134">
        <f>R9+R20+R26+R40+R45+R49</f>
        <v>104474.83074999999</v>
      </c>
      <c r="S52" s="17">
        <f>S9+S20+S26+S40+S45+S49</f>
        <v>7020.3799999999992</v>
      </c>
      <c r="T52" s="17">
        <f>T9+T20+T26+T40+T45+T49</f>
        <v>30720.989999999998</v>
      </c>
      <c r="U52" s="55">
        <f t="shared" si="21"/>
        <v>37741.370000000003</v>
      </c>
    </row>
    <row r="55" spans="2:21" ht="16.5" thickBot="1" x14ac:dyDescent="0.3">
      <c r="E55" s="375"/>
      <c r="F55" s="375"/>
      <c r="G55" s="126"/>
      <c r="H55" s="126"/>
      <c r="P55" s="376"/>
      <c r="Q55" s="376"/>
    </row>
    <row r="56" spans="2:21" ht="15" x14ac:dyDescent="0.25">
      <c r="E56" s="377" t="s">
        <v>177</v>
      </c>
      <c r="F56" s="377"/>
      <c r="G56" s="127"/>
      <c r="H56" s="127"/>
      <c r="P56" s="26"/>
      <c r="Q56" s="26"/>
      <c r="R56" s="378" t="s">
        <v>157</v>
      </c>
      <c r="S56" s="378"/>
    </row>
    <row r="60" spans="2:21" x14ac:dyDescent="0.25">
      <c r="C60" t="s">
        <v>174</v>
      </c>
    </row>
  </sheetData>
  <mergeCells count="5">
    <mergeCell ref="B4:U4"/>
    <mergeCell ref="E55:F55"/>
    <mergeCell ref="P55:Q55"/>
    <mergeCell ref="E56:F56"/>
    <mergeCell ref="R56:S56"/>
  </mergeCells>
  <pageMargins left="0.51181102362204722" right="0.51181102362204722" top="0.15748031496062992" bottom="0.35433070866141736" header="0.31496062992125984" footer="0.31496062992125984"/>
  <pageSetup scale="38" fitToHeight="0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V60"/>
  <sheetViews>
    <sheetView topLeftCell="C23" zoomScale="85" zoomScaleNormal="85" workbookViewId="0">
      <selection activeCell="R52" sqref="R52"/>
    </sheetView>
  </sheetViews>
  <sheetFormatPr baseColWidth="10" defaultRowHeight="15.75" x14ac:dyDescent="0.25"/>
  <cols>
    <col min="1" max="1" width="0.7109375" customWidth="1"/>
    <col min="2" max="2" width="17.140625" customWidth="1"/>
    <col min="3" max="3" width="34.140625" customWidth="1"/>
    <col min="4" max="4" width="28" customWidth="1"/>
    <col min="5" max="5" width="18.42578125" customWidth="1"/>
    <col min="6" max="6" width="12.7109375" customWidth="1"/>
    <col min="7" max="7" width="12.28515625" customWidth="1"/>
    <col min="8" max="8" width="14.140625" customWidth="1"/>
    <col min="9" max="9" width="13.85546875" customWidth="1"/>
    <col min="10" max="10" width="11.42578125" customWidth="1"/>
    <col min="11" max="11" width="13.85546875" customWidth="1"/>
    <col min="12" max="12" width="9.42578125" customWidth="1"/>
    <col min="13" max="13" width="14.42578125" customWidth="1"/>
    <col min="14" max="14" width="12.7109375" customWidth="1"/>
    <col min="15" max="15" width="11.42578125" customWidth="1"/>
    <col min="16" max="16" width="12.85546875" customWidth="1"/>
    <col min="17" max="17" width="16.5703125" customWidth="1"/>
    <col min="18" max="18" width="18.28515625" style="133" customWidth="1"/>
    <col min="19" max="19" width="16.140625" customWidth="1"/>
    <col min="20" max="20" width="14.85546875" customWidth="1"/>
    <col min="21" max="21" width="17" customWidth="1"/>
  </cols>
  <sheetData>
    <row r="3" spans="2:22" x14ac:dyDescent="0.25"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29"/>
    </row>
    <row r="4" spans="2:22" ht="16.5" customHeight="1" x14ac:dyDescent="0.25">
      <c r="B4" s="380" t="s">
        <v>195</v>
      </c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</row>
    <row r="5" spans="2:22" s="56" customFormat="1" ht="39.75" customHeight="1" x14ac:dyDescent="0.25">
      <c r="B5" s="120" t="s">
        <v>9</v>
      </c>
      <c r="C5" s="119" t="s">
        <v>10</v>
      </c>
      <c r="D5" s="103" t="s">
        <v>0</v>
      </c>
      <c r="E5" s="61" t="s">
        <v>11</v>
      </c>
      <c r="F5" s="100" t="s">
        <v>150</v>
      </c>
      <c r="G5" s="117" t="s">
        <v>180</v>
      </c>
      <c r="H5" s="118" t="s">
        <v>182</v>
      </c>
      <c r="I5" s="97" t="s">
        <v>169</v>
      </c>
      <c r="J5" s="103" t="s">
        <v>170</v>
      </c>
      <c r="K5" s="103" t="s">
        <v>12</v>
      </c>
      <c r="L5" s="99" t="s">
        <v>107</v>
      </c>
      <c r="M5" s="100" t="s">
        <v>143</v>
      </c>
      <c r="N5" s="100" t="s">
        <v>13</v>
      </c>
      <c r="O5" s="101" t="s">
        <v>171</v>
      </c>
      <c r="P5" s="116" t="s">
        <v>16</v>
      </c>
      <c r="Q5" s="115" t="s">
        <v>17</v>
      </c>
      <c r="R5" s="130" t="s">
        <v>72</v>
      </c>
      <c r="S5" s="99" t="s">
        <v>8</v>
      </c>
      <c r="T5" s="123" t="s">
        <v>18</v>
      </c>
      <c r="U5" s="123" t="s">
        <v>73</v>
      </c>
      <c r="V5" s="102"/>
    </row>
    <row r="6" spans="2:22" x14ac:dyDescent="0.25">
      <c r="B6" s="107" t="s">
        <v>19</v>
      </c>
      <c r="C6" s="121" t="s">
        <v>20</v>
      </c>
      <c r="D6" s="121"/>
      <c r="E6" s="95"/>
      <c r="F6" s="15"/>
      <c r="G6" s="114"/>
      <c r="H6" s="15"/>
      <c r="I6" s="95"/>
      <c r="J6" s="95"/>
      <c r="K6" s="95"/>
      <c r="L6" s="15"/>
      <c r="M6" s="15"/>
      <c r="N6" s="15"/>
      <c r="O6" s="95"/>
      <c r="P6" s="15"/>
      <c r="Q6" s="95"/>
      <c r="R6" s="129"/>
    </row>
    <row r="7" spans="2:22" x14ac:dyDescent="0.25">
      <c r="B7" t="s">
        <v>21</v>
      </c>
      <c r="C7" s="11" t="s">
        <v>22</v>
      </c>
      <c r="D7" t="s">
        <v>25</v>
      </c>
      <c r="E7" s="15">
        <v>16954.95</v>
      </c>
      <c r="F7" s="29">
        <v>15</v>
      </c>
      <c r="G7" s="83">
        <v>2700</v>
      </c>
      <c r="H7" s="15"/>
      <c r="I7" s="15"/>
      <c r="J7" s="15"/>
      <c r="K7" s="15">
        <f>E7-I7</f>
        <v>16954.95</v>
      </c>
      <c r="L7" s="15">
        <v>0</v>
      </c>
      <c r="M7" s="15">
        <v>3246.93</v>
      </c>
      <c r="N7" s="15">
        <f>M7-L7</f>
        <v>3246.93</v>
      </c>
      <c r="O7" s="15">
        <v>0</v>
      </c>
      <c r="P7" s="20">
        <f>E7*0.115</f>
        <v>1949.8192500000002</v>
      </c>
      <c r="Q7" s="15">
        <f>SUM(N7:P7)+G7</f>
        <v>7896.7492499999998</v>
      </c>
      <c r="R7" s="135">
        <f>K7-Q7</f>
        <v>9058.20075</v>
      </c>
      <c r="S7" s="11">
        <v>328.67</v>
      </c>
      <c r="T7" s="11">
        <v>3390.99</v>
      </c>
      <c r="U7" s="35">
        <f>SUM(S7:T7)</f>
        <v>3719.66</v>
      </c>
    </row>
    <row r="8" spans="2:22" x14ac:dyDescent="0.25">
      <c r="B8" t="s">
        <v>23</v>
      </c>
      <c r="C8" s="11" t="s">
        <v>24</v>
      </c>
      <c r="D8" t="s">
        <v>3</v>
      </c>
      <c r="E8" s="15">
        <v>4850</v>
      </c>
      <c r="F8" s="29">
        <v>15</v>
      </c>
      <c r="G8" s="83">
        <v>809</v>
      </c>
      <c r="H8" s="15"/>
      <c r="I8" s="15"/>
      <c r="J8" s="15"/>
      <c r="K8" s="15">
        <f>E8-I8</f>
        <v>4850</v>
      </c>
      <c r="L8" s="15">
        <v>0</v>
      </c>
      <c r="M8" s="15">
        <v>491.69</v>
      </c>
      <c r="N8" s="15">
        <f>M8-L8</f>
        <v>491.69</v>
      </c>
      <c r="O8" s="15">
        <v>0</v>
      </c>
      <c r="P8" s="20">
        <f>E8*0.115</f>
        <v>557.75</v>
      </c>
      <c r="Q8" s="15">
        <f>SUM(N8:P8)+G8</f>
        <v>1858.44</v>
      </c>
      <c r="R8" s="135">
        <f>K8-Q8</f>
        <v>2991.56</v>
      </c>
      <c r="S8" s="11">
        <v>253.58</v>
      </c>
      <c r="T8" s="11">
        <v>970</v>
      </c>
      <c r="U8" s="35">
        <f t="shared" ref="U8" si="0">SUM(S8:T8)</f>
        <v>1223.58</v>
      </c>
    </row>
    <row r="9" spans="2:22" x14ac:dyDescent="0.25">
      <c r="B9" s="7" t="s">
        <v>26</v>
      </c>
      <c r="C9" s="30"/>
      <c r="D9" s="30"/>
      <c r="E9" s="34">
        <f>SUM(E7:E8)</f>
        <v>21804.95</v>
      </c>
      <c r="F9" s="34"/>
      <c r="G9" s="34">
        <f>+G8+G7</f>
        <v>3509</v>
      </c>
      <c r="H9" s="34"/>
      <c r="I9" s="34">
        <f t="shared" ref="I9:U9" si="1">SUM(I7:I8)</f>
        <v>0</v>
      </c>
      <c r="J9" s="34">
        <f t="shared" si="1"/>
        <v>0</v>
      </c>
      <c r="K9" s="34">
        <f t="shared" si="1"/>
        <v>21804.95</v>
      </c>
      <c r="L9" s="34">
        <f t="shared" si="1"/>
        <v>0</v>
      </c>
      <c r="M9" s="34">
        <f t="shared" si="1"/>
        <v>3738.62</v>
      </c>
      <c r="N9" s="34">
        <f t="shared" si="1"/>
        <v>3738.62</v>
      </c>
      <c r="O9" s="34">
        <f t="shared" si="1"/>
        <v>0</v>
      </c>
      <c r="P9" s="34">
        <f>SUM(P7:P8)</f>
        <v>2507.5692500000005</v>
      </c>
      <c r="Q9" s="34">
        <f t="shared" si="1"/>
        <v>9755.1892499999994</v>
      </c>
      <c r="R9" s="131">
        <f t="shared" si="1"/>
        <v>12049.760749999999</v>
      </c>
      <c r="S9" s="34">
        <f t="shared" si="1"/>
        <v>582.25</v>
      </c>
      <c r="T9" s="34">
        <f t="shared" si="1"/>
        <v>4360.99</v>
      </c>
      <c r="U9" s="34">
        <f t="shared" si="1"/>
        <v>4943.24</v>
      </c>
    </row>
    <row r="10" spans="2:22" ht="10.5" hidden="1" customHeight="1" x14ac:dyDescent="0.25"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29"/>
    </row>
    <row r="11" spans="2:22" x14ac:dyDescent="0.25">
      <c r="B11" s="2" t="s">
        <v>27</v>
      </c>
      <c r="C11" s="2" t="s">
        <v>28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29"/>
    </row>
    <row r="12" spans="2:22" x14ac:dyDescent="0.25">
      <c r="B12" t="s">
        <v>32</v>
      </c>
      <c r="C12" s="11" t="s">
        <v>37</v>
      </c>
      <c r="D12" t="s">
        <v>1</v>
      </c>
      <c r="E12" s="15">
        <v>10000</v>
      </c>
      <c r="F12" s="29">
        <v>15</v>
      </c>
      <c r="G12" s="83">
        <v>3334</v>
      </c>
      <c r="H12" s="15"/>
      <c r="I12" s="15"/>
      <c r="J12" s="15"/>
      <c r="K12" s="15">
        <f t="shared" ref="K12:K19" si="2">E12-I12</f>
        <v>10000</v>
      </c>
      <c r="L12" s="15">
        <v>0</v>
      </c>
      <c r="M12" s="15">
        <v>1581.44</v>
      </c>
      <c r="N12" s="15">
        <f>M12-L12</f>
        <v>1581.44</v>
      </c>
      <c r="O12" s="15">
        <v>0</v>
      </c>
      <c r="P12" s="15">
        <f t="shared" ref="P12:P19" si="3">E12*0.115</f>
        <v>1150</v>
      </c>
      <c r="Q12" s="15">
        <f>SUM(N12:P12)+G12</f>
        <v>6065.4400000000005</v>
      </c>
      <c r="R12" s="135">
        <f t="shared" ref="R12:R19" si="4">K12-Q12</f>
        <v>3934.5599999999995</v>
      </c>
      <c r="S12" s="11">
        <v>285.52999999999997</v>
      </c>
      <c r="T12" s="11">
        <v>2000</v>
      </c>
      <c r="U12" s="35">
        <f>S12+T12</f>
        <v>2285.5299999999997</v>
      </c>
    </row>
    <row r="13" spans="2:22" x14ac:dyDescent="0.25">
      <c r="B13" t="s">
        <v>33</v>
      </c>
      <c r="C13" s="11" t="s">
        <v>38</v>
      </c>
      <c r="D13" t="s">
        <v>74</v>
      </c>
      <c r="E13" s="15">
        <v>5350</v>
      </c>
      <c r="F13" s="29">
        <v>15</v>
      </c>
      <c r="G13" s="15"/>
      <c r="H13" s="15"/>
      <c r="I13" s="77"/>
      <c r="J13" s="19"/>
      <c r="K13" s="15">
        <f>E13-I13</f>
        <v>5350</v>
      </c>
      <c r="L13" s="15">
        <v>0</v>
      </c>
      <c r="M13" s="15">
        <v>586.75</v>
      </c>
      <c r="N13" s="15">
        <v>588.20000000000005</v>
      </c>
      <c r="O13" s="15">
        <v>0</v>
      </c>
      <c r="P13" s="15">
        <f t="shared" si="3"/>
        <v>615.25</v>
      </c>
      <c r="Q13" s="15">
        <f t="shared" ref="Q13:Q19" si="5">SUM(N13:P13)+G13</f>
        <v>1203.45</v>
      </c>
      <c r="R13" s="135">
        <f t="shared" si="4"/>
        <v>4146.55</v>
      </c>
      <c r="S13" s="11">
        <v>256.68</v>
      </c>
      <c r="T13" s="11">
        <v>1070</v>
      </c>
      <c r="U13" s="35">
        <f>S13+T13</f>
        <v>1326.68</v>
      </c>
    </row>
    <row r="14" spans="2:22" x14ac:dyDescent="0.25">
      <c r="B14" t="s">
        <v>34</v>
      </c>
      <c r="C14" s="11" t="s">
        <v>178</v>
      </c>
      <c r="D14" t="s">
        <v>179</v>
      </c>
      <c r="E14" s="15">
        <v>5350</v>
      </c>
      <c r="F14" s="29">
        <v>15</v>
      </c>
      <c r="G14" s="15"/>
      <c r="H14" s="20"/>
      <c r="I14" s="19"/>
      <c r="J14" s="19"/>
      <c r="K14" s="15">
        <f>+E14+H14</f>
        <v>5350</v>
      </c>
      <c r="L14" s="15">
        <v>0</v>
      </c>
      <c r="M14" s="15">
        <v>586.75</v>
      </c>
      <c r="N14" s="15">
        <v>588.20000000000005</v>
      </c>
      <c r="O14" s="15">
        <v>0</v>
      </c>
      <c r="P14" s="113"/>
      <c r="Q14" s="15">
        <f>SUM(N14:P14)+G14</f>
        <v>588.20000000000005</v>
      </c>
      <c r="R14" s="135">
        <f>K14-Q14</f>
        <v>4761.8</v>
      </c>
      <c r="S14" s="11">
        <v>256.68</v>
      </c>
      <c r="T14" s="11">
        <v>0</v>
      </c>
      <c r="U14" s="35">
        <f>S14+T14</f>
        <v>256.68</v>
      </c>
    </row>
    <row r="15" spans="2:22" x14ac:dyDescent="0.25">
      <c r="B15" t="s">
        <v>35</v>
      </c>
      <c r="C15" t="s">
        <v>111</v>
      </c>
      <c r="D15" t="s">
        <v>77</v>
      </c>
      <c r="E15" s="15">
        <v>6000</v>
      </c>
      <c r="F15" s="29">
        <v>15</v>
      </c>
      <c r="G15" s="15"/>
      <c r="H15" s="15"/>
      <c r="I15" s="15"/>
      <c r="J15" s="15"/>
      <c r="K15" s="15">
        <f t="shared" si="2"/>
        <v>6000</v>
      </c>
      <c r="L15" s="15">
        <v>0</v>
      </c>
      <c r="M15" s="15">
        <v>727.04</v>
      </c>
      <c r="N15" s="15">
        <f t="shared" ref="N15:N19" si="6">M15-L15</f>
        <v>727.04</v>
      </c>
      <c r="O15" s="15">
        <v>0</v>
      </c>
      <c r="P15" s="15">
        <f>E15*0.115</f>
        <v>690</v>
      </c>
      <c r="Q15" s="15">
        <f t="shared" si="5"/>
        <v>1417.04</v>
      </c>
      <c r="R15" s="135">
        <f t="shared" si="4"/>
        <v>4582.96</v>
      </c>
      <c r="S15" s="11">
        <v>260.72000000000003</v>
      </c>
      <c r="T15" s="11">
        <v>1200</v>
      </c>
      <c r="U15" s="35">
        <f>S15+T15</f>
        <v>1460.72</v>
      </c>
    </row>
    <row r="16" spans="2:22" x14ac:dyDescent="0.25">
      <c r="B16" t="s">
        <v>36</v>
      </c>
      <c r="C16" t="s">
        <v>86</v>
      </c>
      <c r="D16" t="s">
        <v>39</v>
      </c>
      <c r="E16" s="15">
        <v>4500</v>
      </c>
      <c r="F16" s="29">
        <v>15</v>
      </c>
      <c r="G16" s="83">
        <v>750</v>
      </c>
      <c r="H16" s="15"/>
      <c r="I16" s="15"/>
      <c r="J16" s="15"/>
      <c r="K16" s="15">
        <f t="shared" si="2"/>
        <v>4500</v>
      </c>
      <c r="L16" s="15">
        <v>0</v>
      </c>
      <c r="M16" s="15">
        <v>428.97</v>
      </c>
      <c r="N16" s="15">
        <f t="shared" si="6"/>
        <v>428.97</v>
      </c>
      <c r="O16" s="15">
        <v>0</v>
      </c>
      <c r="P16" s="15">
        <f t="shared" si="3"/>
        <v>517.5</v>
      </c>
      <c r="Q16" s="15">
        <f t="shared" si="5"/>
        <v>1696.47</v>
      </c>
      <c r="R16" s="135">
        <f t="shared" si="4"/>
        <v>2803.5299999999997</v>
      </c>
      <c r="S16" s="11">
        <v>251.41</v>
      </c>
      <c r="T16" s="11">
        <v>900</v>
      </c>
      <c r="U16" s="35">
        <f>S16+T16</f>
        <v>1151.4100000000001</v>
      </c>
    </row>
    <row r="17" spans="2:21" x14ac:dyDescent="0.25">
      <c r="B17" t="s">
        <v>115</v>
      </c>
      <c r="C17" t="s">
        <v>87</v>
      </c>
      <c r="D17" t="s">
        <v>39</v>
      </c>
      <c r="E17" s="15">
        <v>4500</v>
      </c>
      <c r="F17" s="29">
        <v>15</v>
      </c>
      <c r="G17" s="83">
        <v>610</v>
      </c>
      <c r="H17" s="15"/>
      <c r="I17" s="15"/>
      <c r="J17" s="15"/>
      <c r="K17" s="15">
        <f t="shared" si="2"/>
        <v>4500</v>
      </c>
      <c r="L17" s="15">
        <v>0</v>
      </c>
      <c r="M17" s="15">
        <v>428.97</v>
      </c>
      <c r="N17" s="15">
        <v>428.97</v>
      </c>
      <c r="O17" s="15">
        <v>0</v>
      </c>
      <c r="P17" s="15">
        <f t="shared" si="3"/>
        <v>517.5</v>
      </c>
      <c r="Q17" s="15">
        <f t="shared" si="5"/>
        <v>1556.47</v>
      </c>
      <c r="R17" s="135">
        <f t="shared" si="4"/>
        <v>2943.5299999999997</v>
      </c>
      <c r="S17" s="11">
        <v>251.41</v>
      </c>
      <c r="T17" s="11">
        <v>900</v>
      </c>
      <c r="U17" s="35">
        <f t="shared" ref="U17:U19" si="7">S17+T17</f>
        <v>1151.4100000000001</v>
      </c>
    </row>
    <row r="18" spans="2:21" x14ac:dyDescent="0.25">
      <c r="B18" t="s">
        <v>116</v>
      </c>
      <c r="C18" t="s">
        <v>89</v>
      </c>
      <c r="D18" t="s">
        <v>4</v>
      </c>
      <c r="E18" s="15">
        <v>2700</v>
      </c>
      <c r="F18" s="29">
        <v>15</v>
      </c>
      <c r="G18" s="83">
        <v>450</v>
      </c>
      <c r="H18" s="15"/>
      <c r="I18" s="15"/>
      <c r="J18" s="15"/>
      <c r="K18" s="15">
        <f t="shared" si="2"/>
        <v>2700</v>
      </c>
      <c r="L18" s="15">
        <v>147.32</v>
      </c>
      <c r="M18" s="15">
        <v>188.33</v>
      </c>
      <c r="N18" s="15">
        <f t="shared" si="6"/>
        <v>41.010000000000019</v>
      </c>
      <c r="O18" s="15">
        <v>0</v>
      </c>
      <c r="P18" s="20">
        <f t="shared" si="3"/>
        <v>310.5</v>
      </c>
      <c r="Q18" s="15">
        <f t="shared" si="5"/>
        <v>801.51</v>
      </c>
      <c r="R18" s="135">
        <f t="shared" si="4"/>
        <v>1898.49</v>
      </c>
      <c r="S18" s="11">
        <v>240.25</v>
      </c>
      <c r="T18" s="11">
        <v>540</v>
      </c>
      <c r="U18" s="35">
        <f t="shared" si="7"/>
        <v>780.25</v>
      </c>
    </row>
    <row r="19" spans="2:21" x14ac:dyDescent="0.25">
      <c r="B19" t="s">
        <v>117</v>
      </c>
      <c r="C19" t="s">
        <v>88</v>
      </c>
      <c r="D19" t="s">
        <v>40</v>
      </c>
      <c r="E19" s="15">
        <v>3150</v>
      </c>
      <c r="F19" s="29">
        <v>15</v>
      </c>
      <c r="G19" s="83">
        <v>525</v>
      </c>
      <c r="H19" s="15"/>
      <c r="I19" s="15"/>
      <c r="J19" s="15"/>
      <c r="K19" s="15">
        <f t="shared" si="2"/>
        <v>3150</v>
      </c>
      <c r="L19" s="15">
        <v>126.77</v>
      </c>
      <c r="M19" s="15">
        <v>237.29</v>
      </c>
      <c r="N19" s="15">
        <f t="shared" si="6"/>
        <v>110.52</v>
      </c>
      <c r="O19" s="15">
        <v>0</v>
      </c>
      <c r="P19" s="20">
        <f t="shared" si="3"/>
        <v>362.25</v>
      </c>
      <c r="Q19" s="15">
        <f t="shared" si="5"/>
        <v>997.77</v>
      </c>
      <c r="R19" s="135">
        <f t="shared" si="4"/>
        <v>2152.23</v>
      </c>
      <c r="S19" s="11">
        <v>243.04</v>
      </c>
      <c r="T19" s="11">
        <v>630</v>
      </c>
      <c r="U19" s="35">
        <f t="shared" si="7"/>
        <v>873.04</v>
      </c>
    </row>
    <row r="20" spans="2:21" x14ac:dyDescent="0.25">
      <c r="B20" s="2" t="s">
        <v>26</v>
      </c>
      <c r="C20" s="30"/>
      <c r="D20" s="30"/>
      <c r="E20" s="34">
        <f>SUM(E12:E19)</f>
        <v>41550</v>
      </c>
      <c r="F20" s="34"/>
      <c r="G20" s="34">
        <f>+G19+G18+G17+G16+G12</f>
        <v>5669</v>
      </c>
      <c r="H20" s="34"/>
      <c r="I20" s="34">
        <f t="shared" ref="I20:U20" si="8">SUM(I12:I19)</f>
        <v>0</v>
      </c>
      <c r="J20" s="34">
        <f t="shared" si="8"/>
        <v>0</v>
      </c>
      <c r="K20" s="34">
        <f t="shared" si="8"/>
        <v>41550</v>
      </c>
      <c r="L20" s="34">
        <f t="shared" si="8"/>
        <v>274.08999999999997</v>
      </c>
      <c r="M20" s="34">
        <f t="shared" si="8"/>
        <v>4765.54</v>
      </c>
      <c r="N20" s="34">
        <f t="shared" si="8"/>
        <v>4494.3500000000013</v>
      </c>
      <c r="O20" s="34">
        <f t="shared" si="8"/>
        <v>0</v>
      </c>
      <c r="P20" s="34">
        <f>SUM(P12:P19)</f>
        <v>4163</v>
      </c>
      <c r="Q20" s="34">
        <f t="shared" si="8"/>
        <v>14326.35</v>
      </c>
      <c r="R20" s="131">
        <f t="shared" si="8"/>
        <v>27223.649999999998</v>
      </c>
      <c r="S20" s="34">
        <f t="shared" si="8"/>
        <v>2045.7200000000003</v>
      </c>
      <c r="T20" s="34">
        <f t="shared" si="8"/>
        <v>7240</v>
      </c>
      <c r="U20" s="34">
        <f t="shared" si="8"/>
        <v>9285.7200000000012</v>
      </c>
    </row>
    <row r="21" spans="2:21" hidden="1" x14ac:dyDescent="0.25">
      <c r="B21" s="2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29"/>
    </row>
    <row r="22" spans="2:21" x14ac:dyDescent="0.25">
      <c r="B22" s="2" t="s">
        <v>50</v>
      </c>
      <c r="C22" s="2" t="s">
        <v>160</v>
      </c>
      <c r="E22" s="15"/>
      <c r="F22" s="15"/>
      <c r="G22" s="15"/>
      <c r="H22" s="15"/>
      <c r="I22" s="15"/>
      <c r="J22" s="15"/>
      <c r="K22" s="113"/>
      <c r="L22" s="113"/>
      <c r="M22" s="15"/>
      <c r="N22" s="15"/>
      <c r="O22" s="15"/>
      <c r="P22" s="15"/>
      <c r="Q22" s="15"/>
      <c r="R22" s="129"/>
    </row>
    <row r="23" spans="2:21" x14ac:dyDescent="0.25">
      <c r="B23" t="s">
        <v>119</v>
      </c>
      <c r="C23" t="s">
        <v>91</v>
      </c>
      <c r="D23" t="s">
        <v>76</v>
      </c>
      <c r="E23" s="15">
        <v>5350</v>
      </c>
      <c r="F23" s="29">
        <v>15</v>
      </c>
      <c r="G23" s="83">
        <v>892</v>
      </c>
      <c r="H23" s="15"/>
      <c r="I23" s="71"/>
      <c r="J23" s="15"/>
      <c r="K23" s="15">
        <f>E23-I23</f>
        <v>5350</v>
      </c>
      <c r="L23" s="15">
        <v>0</v>
      </c>
      <c r="M23" s="15">
        <v>453.47</v>
      </c>
      <c r="N23" s="15">
        <v>588.20000000000005</v>
      </c>
      <c r="O23" s="15">
        <v>0</v>
      </c>
      <c r="P23" s="20">
        <f>E23*0.115</f>
        <v>615.25</v>
      </c>
      <c r="Q23" s="15">
        <f>SUM(N23:P23)+G23</f>
        <v>2095.4499999999998</v>
      </c>
      <c r="R23" s="135">
        <f>K23-Q23</f>
        <v>3254.55</v>
      </c>
      <c r="S23" s="11">
        <v>256.68</v>
      </c>
      <c r="T23" s="11">
        <v>1070</v>
      </c>
      <c r="U23" s="35">
        <f>S23+T23</f>
        <v>1326.68</v>
      </c>
    </row>
    <row r="24" spans="2:21" x14ac:dyDescent="0.25">
      <c r="B24" t="s">
        <v>120</v>
      </c>
      <c r="C24" t="s">
        <v>93</v>
      </c>
      <c r="D24" t="s">
        <v>78</v>
      </c>
      <c r="E24" s="15">
        <v>5350</v>
      </c>
      <c r="F24" s="29">
        <v>15</v>
      </c>
      <c r="G24" s="83">
        <v>1115</v>
      </c>
      <c r="H24" s="15"/>
      <c r="I24" s="71"/>
      <c r="J24" s="15"/>
      <c r="K24" s="15">
        <f>E24-I24</f>
        <v>5350</v>
      </c>
      <c r="L24" s="15">
        <v>0</v>
      </c>
      <c r="M24" s="15">
        <v>588.20000000000005</v>
      </c>
      <c r="N24" s="15">
        <f>M24-L24</f>
        <v>588.20000000000005</v>
      </c>
      <c r="O24" s="15">
        <v>0</v>
      </c>
      <c r="P24" s="20">
        <f>E24*0.115</f>
        <v>615.25</v>
      </c>
      <c r="Q24" s="15">
        <f>SUM(N24:P24)+G24</f>
        <v>2318.4499999999998</v>
      </c>
      <c r="R24" s="135">
        <f>K24-Q24</f>
        <v>3031.55</v>
      </c>
      <c r="S24" s="11">
        <v>256.68</v>
      </c>
      <c r="T24" s="11">
        <v>1070</v>
      </c>
      <c r="U24" s="35">
        <f>S24+T24</f>
        <v>1326.68</v>
      </c>
    </row>
    <row r="25" spans="2:21" x14ac:dyDescent="0.25">
      <c r="B25" t="s">
        <v>121</v>
      </c>
      <c r="C25" t="s">
        <v>114</v>
      </c>
      <c r="D25" t="s">
        <v>186</v>
      </c>
      <c r="E25" s="15">
        <v>5350</v>
      </c>
      <c r="F25" s="29">
        <v>15</v>
      </c>
      <c r="G25" s="15"/>
      <c r="H25" s="15"/>
      <c r="I25" s="71"/>
      <c r="J25" s="15"/>
      <c r="K25" s="15">
        <f>E25-I25</f>
        <v>5350</v>
      </c>
      <c r="L25" s="15">
        <v>0</v>
      </c>
      <c r="M25" s="15">
        <v>588.20000000000005</v>
      </c>
      <c r="N25" s="15">
        <f>M25-L25</f>
        <v>588.20000000000005</v>
      </c>
      <c r="O25" s="15">
        <v>0</v>
      </c>
      <c r="P25" s="20">
        <f>E25*0.115</f>
        <v>615.25</v>
      </c>
      <c r="Q25" s="15">
        <f>SUM(N25:P25)+G25</f>
        <v>1203.45</v>
      </c>
      <c r="R25" s="135">
        <f>K25-Q25</f>
        <v>4146.55</v>
      </c>
      <c r="S25" s="11">
        <v>256.68</v>
      </c>
      <c r="T25" s="11">
        <v>1070</v>
      </c>
      <c r="U25" s="35">
        <f>S25+T25</f>
        <v>1326.68</v>
      </c>
    </row>
    <row r="26" spans="2:21" x14ac:dyDescent="0.25">
      <c r="B26" s="2" t="s">
        <v>26</v>
      </c>
      <c r="C26" s="30"/>
      <c r="D26" s="30"/>
      <c r="E26" s="34">
        <f>SUM(E23:E25)</f>
        <v>16050</v>
      </c>
      <c r="F26" s="34"/>
      <c r="G26" s="34">
        <f>+G25+G24+G23</f>
        <v>2007</v>
      </c>
      <c r="H26" s="34"/>
      <c r="I26" s="34">
        <f>SUM(I23:I25)</f>
        <v>0</v>
      </c>
      <c r="J26" s="34">
        <f>SUM(J23:J25)</f>
        <v>0</v>
      </c>
      <c r="K26" s="34">
        <f t="shared" ref="K26:U26" si="9">SUM(K23:K25)</f>
        <v>16050</v>
      </c>
      <c r="L26" s="34">
        <f t="shared" si="9"/>
        <v>0</v>
      </c>
      <c r="M26" s="34">
        <f t="shared" si="9"/>
        <v>1629.8700000000001</v>
      </c>
      <c r="N26" s="34">
        <f t="shared" si="9"/>
        <v>1764.6000000000001</v>
      </c>
      <c r="O26" s="34">
        <f t="shared" si="9"/>
        <v>0</v>
      </c>
      <c r="P26" s="34">
        <f>SUM(P23:P25)</f>
        <v>1845.75</v>
      </c>
      <c r="Q26" s="34">
        <f t="shared" si="9"/>
        <v>5617.3499999999995</v>
      </c>
      <c r="R26" s="131">
        <f t="shared" si="9"/>
        <v>10432.650000000001</v>
      </c>
      <c r="S26" s="34">
        <f t="shared" si="9"/>
        <v>770.04</v>
      </c>
      <c r="T26" s="34">
        <f t="shared" si="9"/>
        <v>3210</v>
      </c>
      <c r="U26" s="34">
        <f t="shared" si="9"/>
        <v>3980.04</v>
      </c>
    </row>
    <row r="27" spans="2:21" hidden="1" x14ac:dyDescent="0.25"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29"/>
    </row>
    <row r="28" spans="2:21" x14ac:dyDescent="0.25">
      <c r="B28" s="2" t="s">
        <v>63</v>
      </c>
      <c r="C28" s="2" t="s">
        <v>51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29"/>
    </row>
    <row r="29" spans="2:21" x14ac:dyDescent="0.25">
      <c r="B29" t="s">
        <v>122</v>
      </c>
      <c r="C29" t="s">
        <v>97</v>
      </c>
      <c r="D29" t="s">
        <v>80</v>
      </c>
      <c r="E29" s="15">
        <v>5350</v>
      </c>
      <c r="F29" s="29">
        <v>15</v>
      </c>
      <c r="G29" s="15"/>
      <c r="H29" s="15"/>
      <c r="I29" s="71"/>
      <c r="J29" s="15"/>
      <c r="K29" s="15">
        <f t="shared" ref="K29:K39" si="10">E29-I29</f>
        <v>5350</v>
      </c>
      <c r="L29" s="15">
        <v>0</v>
      </c>
      <c r="M29" s="15">
        <v>588.20000000000005</v>
      </c>
      <c r="N29" s="15">
        <f>M29-L29</f>
        <v>588.20000000000005</v>
      </c>
      <c r="O29" s="15">
        <v>0</v>
      </c>
      <c r="P29" s="20">
        <f>E29*0.115</f>
        <v>615.25</v>
      </c>
      <c r="Q29" s="15">
        <f t="shared" ref="Q29:Q39" si="11">SUM(N29:P29)+G29</f>
        <v>1203.45</v>
      </c>
      <c r="R29" s="135">
        <f t="shared" ref="R29:R39" si="12">K29-Q29</f>
        <v>4146.55</v>
      </c>
      <c r="S29" s="11">
        <v>256.68</v>
      </c>
      <c r="T29" s="11">
        <v>1070</v>
      </c>
      <c r="U29" s="35">
        <f t="shared" ref="U29:U39" si="13">S29+T29</f>
        <v>1326.68</v>
      </c>
    </row>
    <row r="30" spans="2:21" x14ac:dyDescent="0.25">
      <c r="B30" t="s">
        <v>123</v>
      </c>
      <c r="C30" t="s">
        <v>100</v>
      </c>
      <c r="D30" t="s">
        <v>80</v>
      </c>
      <c r="E30" s="15">
        <v>5350</v>
      </c>
      <c r="F30" s="29">
        <v>15</v>
      </c>
      <c r="G30" s="15"/>
      <c r="H30" s="15"/>
      <c r="I30" s="77"/>
      <c r="J30" s="20"/>
      <c r="K30" s="20">
        <f t="shared" si="10"/>
        <v>5350</v>
      </c>
      <c r="L30" s="20">
        <v>0</v>
      </c>
      <c r="M30" s="20">
        <v>587.48</v>
      </c>
      <c r="N30" s="20">
        <v>588.20000000000005</v>
      </c>
      <c r="O30" s="15">
        <v>0</v>
      </c>
      <c r="P30" s="20">
        <f t="shared" ref="P30:P39" si="14">E30*0.115</f>
        <v>615.25</v>
      </c>
      <c r="Q30" s="15">
        <f t="shared" si="11"/>
        <v>1203.45</v>
      </c>
      <c r="R30" s="135">
        <f t="shared" si="12"/>
        <v>4146.55</v>
      </c>
      <c r="S30" s="11">
        <v>256.68</v>
      </c>
      <c r="T30" s="11">
        <v>1070</v>
      </c>
      <c r="U30" s="35">
        <f t="shared" si="13"/>
        <v>1326.68</v>
      </c>
    </row>
    <row r="31" spans="2:21" x14ac:dyDescent="0.25">
      <c r="B31" t="s">
        <v>124</v>
      </c>
      <c r="C31" t="s">
        <v>96</v>
      </c>
      <c r="D31" t="s">
        <v>78</v>
      </c>
      <c r="E31" s="15">
        <v>5350</v>
      </c>
      <c r="F31" s="29">
        <v>15</v>
      </c>
      <c r="G31" s="15"/>
      <c r="H31" s="15"/>
      <c r="I31" s="20"/>
      <c r="J31" s="20"/>
      <c r="K31" s="20">
        <f t="shared" si="10"/>
        <v>5350</v>
      </c>
      <c r="L31" s="20">
        <v>0</v>
      </c>
      <c r="M31" s="20">
        <v>588.20000000000005</v>
      </c>
      <c r="N31" s="20">
        <f t="shared" ref="N31:N39" si="15">M31-L31</f>
        <v>588.20000000000005</v>
      </c>
      <c r="O31" s="15">
        <v>0</v>
      </c>
      <c r="P31" s="20">
        <f t="shared" si="14"/>
        <v>615.25</v>
      </c>
      <c r="Q31" s="15">
        <f t="shared" si="11"/>
        <v>1203.45</v>
      </c>
      <c r="R31" s="135">
        <f t="shared" si="12"/>
        <v>4146.55</v>
      </c>
      <c r="S31" s="11">
        <v>256.68</v>
      </c>
      <c r="T31" s="11">
        <v>1070</v>
      </c>
      <c r="U31" s="35">
        <f t="shared" si="13"/>
        <v>1326.68</v>
      </c>
    </row>
    <row r="32" spans="2:21" ht="16.5" thickBot="1" x14ac:dyDescent="0.3">
      <c r="B32" t="s">
        <v>125</v>
      </c>
      <c r="C32" t="s">
        <v>104</v>
      </c>
      <c r="D32" t="s">
        <v>78</v>
      </c>
      <c r="E32" s="15">
        <v>5350</v>
      </c>
      <c r="F32" s="29">
        <v>15</v>
      </c>
      <c r="G32" s="15"/>
      <c r="H32" s="15"/>
      <c r="I32" s="77"/>
      <c r="J32" s="20"/>
      <c r="K32" s="20">
        <f t="shared" si="10"/>
        <v>5350</v>
      </c>
      <c r="L32" s="20">
        <v>0</v>
      </c>
      <c r="M32" s="20">
        <v>588.20000000000005</v>
      </c>
      <c r="N32" s="20">
        <f t="shared" si="15"/>
        <v>588.20000000000005</v>
      </c>
      <c r="O32" s="15">
        <v>0</v>
      </c>
      <c r="P32" s="20">
        <f t="shared" si="14"/>
        <v>615.25</v>
      </c>
      <c r="Q32" s="15">
        <f t="shared" si="11"/>
        <v>1203.45</v>
      </c>
      <c r="R32" s="135">
        <f t="shared" si="12"/>
        <v>4146.55</v>
      </c>
      <c r="S32" s="11">
        <v>256.68</v>
      </c>
      <c r="T32" s="11">
        <v>1070</v>
      </c>
      <c r="U32" s="35">
        <f t="shared" si="13"/>
        <v>1326.68</v>
      </c>
    </row>
    <row r="33" spans="2:21" ht="16.5" thickBot="1" x14ac:dyDescent="0.3">
      <c r="B33" t="s">
        <v>126</v>
      </c>
      <c r="C33" t="s">
        <v>94</v>
      </c>
      <c r="D33" t="s">
        <v>81</v>
      </c>
      <c r="E33" s="15">
        <v>5350</v>
      </c>
      <c r="F33" s="29">
        <v>15</v>
      </c>
      <c r="G33" s="83">
        <v>595</v>
      </c>
      <c r="H33" s="15"/>
      <c r="I33" s="138">
        <v>10.199999999999999</v>
      </c>
      <c r="J33" s="20"/>
      <c r="K33" s="20">
        <f>E33-I33</f>
        <v>5339.8</v>
      </c>
      <c r="L33" s="20">
        <v>0</v>
      </c>
      <c r="M33" s="20">
        <v>517.23</v>
      </c>
      <c r="N33" s="20">
        <v>588.02</v>
      </c>
      <c r="O33" s="15">
        <v>0</v>
      </c>
      <c r="P33" s="20">
        <f t="shared" si="14"/>
        <v>615.25</v>
      </c>
      <c r="Q33" s="15">
        <f t="shared" si="11"/>
        <v>1798.27</v>
      </c>
      <c r="R33" s="135">
        <f>K33-Q33</f>
        <v>3541.53</v>
      </c>
      <c r="S33" s="11">
        <v>256.68</v>
      </c>
      <c r="T33" s="11">
        <v>1070</v>
      </c>
      <c r="U33" s="35">
        <f t="shared" si="13"/>
        <v>1326.68</v>
      </c>
    </row>
    <row r="34" spans="2:21" x14ac:dyDescent="0.25">
      <c r="B34" t="s">
        <v>127</v>
      </c>
      <c r="C34" t="s">
        <v>98</v>
      </c>
      <c r="D34" t="s">
        <v>81</v>
      </c>
      <c r="E34" s="15">
        <v>5350</v>
      </c>
      <c r="F34" s="29">
        <v>15</v>
      </c>
      <c r="G34" s="15"/>
      <c r="H34" s="20"/>
      <c r="I34" s="77"/>
      <c r="J34" s="20"/>
      <c r="K34" s="20">
        <f>E34-I34</f>
        <v>5350</v>
      </c>
      <c r="L34" s="20">
        <v>0</v>
      </c>
      <c r="M34" s="20">
        <v>588.20000000000005</v>
      </c>
      <c r="N34" s="20">
        <f t="shared" si="15"/>
        <v>588.20000000000005</v>
      </c>
      <c r="O34" s="15">
        <v>0</v>
      </c>
      <c r="P34" s="20">
        <f>E34*0.115</f>
        <v>615.25</v>
      </c>
      <c r="Q34" s="15">
        <f>SUM(N34:P34)+G34</f>
        <v>1203.45</v>
      </c>
      <c r="R34" s="135">
        <f>K34-Q34</f>
        <v>4146.55</v>
      </c>
      <c r="S34" s="11">
        <v>256.68</v>
      </c>
      <c r="T34" s="11">
        <v>1070</v>
      </c>
      <c r="U34" s="35">
        <f t="shared" si="13"/>
        <v>1326.68</v>
      </c>
    </row>
    <row r="35" spans="2:21" x14ac:dyDescent="0.25">
      <c r="B35" t="s">
        <v>128</v>
      </c>
      <c r="C35" t="s">
        <v>101</v>
      </c>
      <c r="D35" t="s">
        <v>81</v>
      </c>
      <c r="E35" s="15">
        <v>5350</v>
      </c>
      <c r="F35" s="29">
        <v>15</v>
      </c>
      <c r="G35" s="15"/>
      <c r="H35" s="15"/>
      <c r="I35" s="71"/>
      <c r="J35" s="20"/>
      <c r="K35" s="20">
        <f>E35-I35</f>
        <v>5350</v>
      </c>
      <c r="L35" s="20">
        <v>0</v>
      </c>
      <c r="M35" s="15">
        <v>588.20000000000005</v>
      </c>
      <c r="N35" s="15">
        <f>M35-L35</f>
        <v>588.20000000000005</v>
      </c>
      <c r="O35" s="15">
        <v>0</v>
      </c>
      <c r="P35" s="20">
        <f t="shared" si="14"/>
        <v>615.25</v>
      </c>
      <c r="Q35" s="15">
        <f>SUM(N35:P35)+G35</f>
        <v>1203.45</v>
      </c>
      <c r="R35" s="135">
        <f>K35-Q35</f>
        <v>4146.55</v>
      </c>
      <c r="S35" s="11">
        <v>256.68</v>
      </c>
      <c r="T35" s="11">
        <v>1070</v>
      </c>
      <c r="U35" s="35">
        <f t="shared" si="13"/>
        <v>1326.68</v>
      </c>
    </row>
    <row r="36" spans="2:21" ht="16.5" thickBot="1" x14ac:dyDescent="0.3">
      <c r="B36" t="s">
        <v>129</v>
      </c>
      <c r="C36" t="s">
        <v>95</v>
      </c>
      <c r="D36" t="s">
        <v>82</v>
      </c>
      <c r="E36" s="15">
        <v>5350</v>
      </c>
      <c r="F36" s="29">
        <v>15</v>
      </c>
      <c r="G36" s="83">
        <v>1190</v>
      </c>
      <c r="H36" s="15"/>
      <c r="I36" s="15"/>
      <c r="J36" s="15"/>
      <c r="K36" s="15">
        <f t="shared" si="10"/>
        <v>5350</v>
      </c>
      <c r="L36" s="15">
        <v>0</v>
      </c>
      <c r="M36" s="15">
        <v>588.20000000000005</v>
      </c>
      <c r="N36" s="15">
        <f t="shared" si="15"/>
        <v>588.20000000000005</v>
      </c>
      <c r="O36" s="15">
        <v>0</v>
      </c>
      <c r="P36" s="20">
        <f t="shared" si="14"/>
        <v>615.25</v>
      </c>
      <c r="Q36" s="15">
        <f t="shared" si="11"/>
        <v>2393.4499999999998</v>
      </c>
      <c r="R36" s="135">
        <f t="shared" si="12"/>
        <v>2956.55</v>
      </c>
      <c r="S36" s="11">
        <v>256.68</v>
      </c>
      <c r="T36" s="11">
        <v>1070</v>
      </c>
      <c r="U36" s="35">
        <f t="shared" si="13"/>
        <v>1326.68</v>
      </c>
    </row>
    <row r="37" spans="2:21" ht="16.5" thickBot="1" x14ac:dyDescent="0.3">
      <c r="B37" t="s">
        <v>130</v>
      </c>
      <c r="C37" t="s">
        <v>102</v>
      </c>
      <c r="D37" t="s">
        <v>82</v>
      </c>
      <c r="E37" s="15">
        <v>5350</v>
      </c>
      <c r="F37" s="29">
        <v>15</v>
      </c>
      <c r="G37" s="83">
        <v>927.62</v>
      </c>
      <c r="H37" s="15"/>
      <c r="I37" s="138">
        <v>0.85</v>
      </c>
      <c r="J37" s="15"/>
      <c r="K37" s="15">
        <f t="shared" si="10"/>
        <v>5349.15</v>
      </c>
      <c r="L37" s="15">
        <v>0</v>
      </c>
      <c r="M37" s="15">
        <v>586.03</v>
      </c>
      <c r="N37" s="15">
        <v>588.20000000000005</v>
      </c>
      <c r="O37" s="15">
        <v>0</v>
      </c>
      <c r="P37" s="20">
        <f t="shared" si="14"/>
        <v>615.25</v>
      </c>
      <c r="Q37" s="15">
        <f>SUM(N37:P37)+G37</f>
        <v>2131.0700000000002</v>
      </c>
      <c r="R37" s="135">
        <f t="shared" si="12"/>
        <v>3218.0799999999995</v>
      </c>
      <c r="S37" s="11">
        <v>256.68</v>
      </c>
      <c r="T37" s="11">
        <v>1070</v>
      </c>
      <c r="U37" s="35">
        <f t="shared" si="13"/>
        <v>1326.68</v>
      </c>
    </row>
    <row r="38" spans="2:21" x14ac:dyDescent="0.25">
      <c r="B38" t="s">
        <v>131</v>
      </c>
      <c r="C38" t="s">
        <v>85</v>
      </c>
      <c r="D38" t="s">
        <v>83</v>
      </c>
      <c r="E38" s="15">
        <v>5350</v>
      </c>
      <c r="F38" s="29">
        <v>15</v>
      </c>
      <c r="G38" s="83">
        <v>1784</v>
      </c>
      <c r="H38" s="15"/>
      <c r="I38" s="15"/>
      <c r="J38" s="15"/>
      <c r="K38" s="15">
        <f t="shared" si="10"/>
        <v>5350</v>
      </c>
      <c r="L38" s="15">
        <v>0</v>
      </c>
      <c r="M38" s="15">
        <v>588.20000000000005</v>
      </c>
      <c r="N38" s="15">
        <f t="shared" si="15"/>
        <v>588.20000000000005</v>
      </c>
      <c r="O38" s="15">
        <v>0</v>
      </c>
      <c r="P38" s="20">
        <f t="shared" si="14"/>
        <v>615.25</v>
      </c>
      <c r="Q38" s="15">
        <f t="shared" si="11"/>
        <v>2987.45</v>
      </c>
      <c r="R38" s="135">
        <f t="shared" si="12"/>
        <v>2362.5500000000002</v>
      </c>
      <c r="S38" s="11">
        <v>256.68</v>
      </c>
      <c r="T38" s="11">
        <v>1070</v>
      </c>
      <c r="U38" s="35">
        <f t="shared" si="13"/>
        <v>1326.68</v>
      </c>
    </row>
    <row r="39" spans="2:21" x14ac:dyDescent="0.25">
      <c r="B39" t="s">
        <v>132</v>
      </c>
      <c r="C39" t="s">
        <v>103</v>
      </c>
      <c r="D39" t="s">
        <v>83</v>
      </c>
      <c r="E39" s="15">
        <v>5350</v>
      </c>
      <c r="F39" s="29">
        <v>15</v>
      </c>
      <c r="G39" s="83">
        <v>1900</v>
      </c>
      <c r="H39" s="15"/>
      <c r="I39" s="71"/>
      <c r="J39" s="15"/>
      <c r="K39" s="15">
        <f t="shared" si="10"/>
        <v>5350</v>
      </c>
      <c r="L39" s="15">
        <v>0</v>
      </c>
      <c r="M39" s="15">
        <v>588.20000000000005</v>
      </c>
      <c r="N39" s="15">
        <f t="shared" si="15"/>
        <v>588.20000000000005</v>
      </c>
      <c r="O39" s="15">
        <v>0</v>
      </c>
      <c r="P39" s="20">
        <f t="shared" si="14"/>
        <v>615.25</v>
      </c>
      <c r="Q39" s="15">
        <f t="shared" si="11"/>
        <v>3103.45</v>
      </c>
      <c r="R39" s="135">
        <f t="shared" si="12"/>
        <v>2246.5500000000002</v>
      </c>
      <c r="S39" s="11">
        <v>256.68</v>
      </c>
      <c r="T39" s="11">
        <v>1070</v>
      </c>
      <c r="U39" s="35">
        <f t="shared" si="13"/>
        <v>1326.68</v>
      </c>
    </row>
    <row r="40" spans="2:21" x14ac:dyDescent="0.25">
      <c r="B40" s="2" t="s">
        <v>26</v>
      </c>
      <c r="C40" s="30"/>
      <c r="D40" s="30"/>
      <c r="E40" s="34">
        <f>SUM(E29:E39)</f>
        <v>58850</v>
      </c>
      <c r="F40" s="34"/>
      <c r="G40" s="34">
        <f>+G39+G38+G37+G36+G35+G34+G33</f>
        <v>6396.62</v>
      </c>
      <c r="H40" s="34"/>
      <c r="I40" s="34">
        <f>SUM(I29:I39)</f>
        <v>11.049999999999999</v>
      </c>
      <c r="J40" s="34">
        <f>SUM(J29:J39)</f>
        <v>0</v>
      </c>
      <c r="K40" s="34">
        <f>SUM(K29:K39)</f>
        <v>58838.950000000004</v>
      </c>
      <c r="L40" s="34">
        <f t="shared" ref="L40:U40" si="16">SUM(L29:L39)</f>
        <v>0</v>
      </c>
      <c r="M40" s="34">
        <f t="shared" si="16"/>
        <v>6396.3399999999992</v>
      </c>
      <c r="N40" s="34">
        <f t="shared" si="16"/>
        <v>6470.0199999999995</v>
      </c>
      <c r="O40" s="34">
        <f t="shared" si="16"/>
        <v>0</v>
      </c>
      <c r="P40" s="34">
        <f>SUM(P29:P39)</f>
        <v>6767.75</v>
      </c>
      <c r="Q40" s="34">
        <f t="shared" si="16"/>
        <v>19634.39</v>
      </c>
      <c r="R40" s="131">
        <f t="shared" si="16"/>
        <v>39204.560000000005</v>
      </c>
      <c r="S40" s="34">
        <f t="shared" si="16"/>
        <v>2823.4799999999996</v>
      </c>
      <c r="T40" s="34">
        <f t="shared" si="16"/>
        <v>11770</v>
      </c>
      <c r="U40" s="34">
        <f t="shared" si="16"/>
        <v>14593.480000000001</v>
      </c>
    </row>
    <row r="41" spans="2:21" hidden="1" x14ac:dyDescent="0.25"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29"/>
    </row>
    <row r="42" spans="2:21" x14ac:dyDescent="0.25">
      <c r="B42" s="2" t="s">
        <v>140</v>
      </c>
      <c r="C42" s="2" t="s">
        <v>64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29"/>
    </row>
    <row r="43" spans="2:21" x14ac:dyDescent="0.25">
      <c r="B43" t="s">
        <v>133</v>
      </c>
      <c r="C43" t="s">
        <v>99</v>
      </c>
      <c r="D43" t="s">
        <v>80</v>
      </c>
      <c r="E43" s="15">
        <v>5350</v>
      </c>
      <c r="F43" s="29">
        <v>15</v>
      </c>
      <c r="G43" s="15"/>
      <c r="H43" s="15"/>
      <c r="I43" s="77"/>
      <c r="J43" s="20"/>
      <c r="K43" s="20">
        <f>E43-I43</f>
        <v>5350</v>
      </c>
      <c r="L43" s="20">
        <v>0</v>
      </c>
      <c r="M43" s="20">
        <v>586.21</v>
      </c>
      <c r="N43" s="20">
        <v>588.20000000000005</v>
      </c>
      <c r="O43" s="15">
        <v>0</v>
      </c>
      <c r="P43" s="15">
        <f t="shared" ref="P43" si="17">E43*0.115</f>
        <v>615.25</v>
      </c>
      <c r="Q43" s="15">
        <f>SUM(N43:P43)+G43</f>
        <v>1203.45</v>
      </c>
      <c r="R43" s="135">
        <f>K43-Q43</f>
        <v>4146.55</v>
      </c>
      <c r="S43" s="11">
        <v>256.68</v>
      </c>
      <c r="T43" s="11">
        <v>1070</v>
      </c>
      <c r="U43" s="35">
        <f t="shared" ref="U43:U44" si="18">S43+T43</f>
        <v>1326.68</v>
      </c>
    </row>
    <row r="44" spans="2:21" x14ac:dyDescent="0.25">
      <c r="B44" t="s">
        <v>152</v>
      </c>
      <c r="C44" t="s">
        <v>92</v>
      </c>
      <c r="D44" t="s">
        <v>80</v>
      </c>
      <c r="E44" s="15">
        <v>5350</v>
      </c>
      <c r="F44" s="29">
        <v>15</v>
      </c>
      <c r="G44" s="15"/>
      <c r="H44" s="15"/>
      <c r="I44" s="15"/>
      <c r="J44" s="15"/>
      <c r="K44" s="15">
        <f>E44-I44</f>
        <v>5350</v>
      </c>
      <c r="L44" s="15">
        <v>0</v>
      </c>
      <c r="M44" s="15">
        <v>588.20000000000005</v>
      </c>
      <c r="N44" s="15">
        <v>588.20000000000005</v>
      </c>
      <c r="O44" s="15">
        <v>0</v>
      </c>
      <c r="P44" s="15">
        <f>K44*0.115</f>
        <v>615.25</v>
      </c>
      <c r="Q44" s="15">
        <f>SUM(N44:P44)+G44</f>
        <v>1203.45</v>
      </c>
      <c r="R44" s="135">
        <f>K44-Q44</f>
        <v>4146.55</v>
      </c>
      <c r="S44" s="11">
        <v>256.68</v>
      </c>
      <c r="T44" s="11">
        <v>1070</v>
      </c>
      <c r="U44" s="35">
        <f t="shared" si="18"/>
        <v>1326.68</v>
      </c>
    </row>
    <row r="45" spans="2:21" x14ac:dyDescent="0.25">
      <c r="B45" s="2" t="s">
        <v>26</v>
      </c>
      <c r="C45" s="30"/>
      <c r="D45" s="30"/>
      <c r="E45" s="34">
        <f>E43+E44</f>
        <v>10700</v>
      </c>
      <c r="F45" s="34"/>
      <c r="G45" s="34">
        <f>+G44+G43</f>
        <v>0</v>
      </c>
      <c r="H45" s="34"/>
      <c r="I45" s="34">
        <f>I43+I44</f>
        <v>0</v>
      </c>
      <c r="J45" s="34">
        <f>J43+J44</f>
        <v>0</v>
      </c>
      <c r="K45" s="34">
        <f t="shared" ref="K45:U45" si="19">K43+K44</f>
        <v>10700</v>
      </c>
      <c r="L45" s="34">
        <f t="shared" si="19"/>
        <v>0</v>
      </c>
      <c r="M45" s="34">
        <f t="shared" si="19"/>
        <v>1174.4100000000001</v>
      </c>
      <c r="N45" s="34">
        <f t="shared" si="19"/>
        <v>1176.4000000000001</v>
      </c>
      <c r="O45" s="34">
        <f t="shared" si="19"/>
        <v>0</v>
      </c>
      <c r="P45" s="34">
        <f>P43+P44</f>
        <v>1230.5</v>
      </c>
      <c r="Q45" s="34">
        <f t="shared" si="19"/>
        <v>2406.9</v>
      </c>
      <c r="R45" s="131">
        <f t="shared" si="19"/>
        <v>8293.1</v>
      </c>
      <c r="S45" s="34">
        <f t="shared" si="19"/>
        <v>513.36</v>
      </c>
      <c r="T45" s="34">
        <f t="shared" si="19"/>
        <v>2140</v>
      </c>
      <c r="U45" s="34">
        <f t="shared" si="19"/>
        <v>2653.36</v>
      </c>
    </row>
    <row r="46" spans="2:21" hidden="1" x14ac:dyDescent="0.25">
      <c r="B46" s="2"/>
      <c r="E46" s="15"/>
      <c r="F46" s="15"/>
      <c r="G46" s="15"/>
      <c r="H46" s="15"/>
      <c r="I46" s="15"/>
      <c r="J46" s="15"/>
      <c r="K46" s="16"/>
      <c r="L46" s="16"/>
      <c r="M46" s="16"/>
      <c r="N46" s="16"/>
      <c r="O46" s="16"/>
      <c r="P46" s="16"/>
      <c r="Q46" s="16"/>
      <c r="R46" s="132"/>
      <c r="S46" s="8"/>
      <c r="T46" s="8"/>
      <c r="U46" s="8"/>
    </row>
    <row r="47" spans="2:21" x14ac:dyDescent="0.25">
      <c r="B47" s="2" t="s">
        <v>161</v>
      </c>
      <c r="C47" s="2" t="s">
        <v>162</v>
      </c>
      <c r="E47" s="15"/>
      <c r="F47" s="15"/>
      <c r="G47" s="15"/>
      <c r="H47" s="15"/>
      <c r="I47" s="15"/>
      <c r="J47" s="15"/>
      <c r="K47" s="16"/>
      <c r="L47" s="16"/>
      <c r="M47" s="16"/>
      <c r="N47" s="16"/>
      <c r="O47" s="16"/>
      <c r="P47" s="16"/>
      <c r="Q47" s="16"/>
      <c r="R47" s="132"/>
      <c r="S47" s="8"/>
      <c r="T47" s="8"/>
      <c r="U47" s="8"/>
    </row>
    <row r="48" spans="2:21" x14ac:dyDescent="0.25">
      <c r="B48" t="s">
        <v>163</v>
      </c>
      <c r="C48" s="11" t="s">
        <v>42</v>
      </c>
      <c r="D48" t="s">
        <v>2</v>
      </c>
      <c r="E48" s="15">
        <v>10000</v>
      </c>
      <c r="F48" s="29">
        <v>15</v>
      </c>
      <c r="G48" s="15"/>
      <c r="H48" s="15"/>
      <c r="I48" s="15"/>
      <c r="J48" s="15"/>
      <c r="K48" s="15">
        <f>E48-I48</f>
        <v>10000</v>
      </c>
      <c r="L48" s="15">
        <v>0</v>
      </c>
      <c r="M48" s="15">
        <v>1581.44</v>
      </c>
      <c r="N48" s="15">
        <f>M48-L48</f>
        <v>1581.44</v>
      </c>
      <c r="O48" s="15">
        <v>0</v>
      </c>
      <c r="P48" s="15">
        <f>E48*0.115</f>
        <v>1150</v>
      </c>
      <c r="Q48" s="15">
        <f>SUM(N48:P48)+G48</f>
        <v>2731.44</v>
      </c>
      <c r="R48" s="135">
        <f>K48-Q48</f>
        <v>7268.5599999999995</v>
      </c>
      <c r="S48" s="11">
        <v>285.52999999999997</v>
      </c>
      <c r="T48" s="11">
        <v>2000</v>
      </c>
      <c r="U48" s="35">
        <f>S48+T48</f>
        <v>2285.5299999999997</v>
      </c>
    </row>
    <row r="49" spans="2:21" x14ac:dyDescent="0.25">
      <c r="B49" s="2" t="s">
        <v>26</v>
      </c>
      <c r="E49" s="34">
        <f>E48</f>
        <v>10000</v>
      </c>
      <c r="F49" s="34"/>
      <c r="G49" s="34">
        <f>+G48</f>
        <v>0</v>
      </c>
      <c r="H49" s="34"/>
      <c r="I49" s="34">
        <f>I48</f>
        <v>0</v>
      </c>
      <c r="J49" s="34">
        <f>J48</f>
        <v>0</v>
      </c>
      <c r="K49" s="34">
        <f t="shared" ref="K49:U49" si="20">K48</f>
        <v>10000</v>
      </c>
      <c r="L49" s="34">
        <f t="shared" si="20"/>
        <v>0</v>
      </c>
      <c r="M49" s="34">
        <f t="shared" si="20"/>
        <v>1581.44</v>
      </c>
      <c r="N49" s="34">
        <f t="shared" si="20"/>
        <v>1581.44</v>
      </c>
      <c r="O49" s="34">
        <f t="shared" si="20"/>
        <v>0</v>
      </c>
      <c r="P49" s="34">
        <f>P48</f>
        <v>1150</v>
      </c>
      <c r="Q49" s="34">
        <f t="shared" si="20"/>
        <v>2731.44</v>
      </c>
      <c r="R49" s="131">
        <f t="shared" si="20"/>
        <v>7268.5599999999995</v>
      </c>
      <c r="S49" s="34">
        <f t="shared" si="20"/>
        <v>285.52999999999997</v>
      </c>
      <c r="T49" s="34">
        <f t="shared" si="20"/>
        <v>2000</v>
      </c>
      <c r="U49" s="34">
        <f t="shared" si="20"/>
        <v>2285.5299999999997</v>
      </c>
    </row>
    <row r="50" spans="2:21" ht="12" customHeight="1" x14ac:dyDescent="0.25">
      <c r="B50" s="2"/>
      <c r="E50" s="15"/>
      <c r="F50" s="15"/>
      <c r="G50" s="15"/>
      <c r="H50" s="15"/>
      <c r="I50" s="15"/>
      <c r="J50" s="15"/>
      <c r="K50" s="16"/>
      <c r="L50" s="16"/>
      <c r="M50" s="16"/>
      <c r="N50" s="16"/>
      <c r="O50" s="16"/>
      <c r="P50" s="16"/>
      <c r="Q50" s="16"/>
      <c r="R50" s="132"/>
      <c r="S50" s="8"/>
      <c r="T50" s="8"/>
      <c r="U50" s="8"/>
    </row>
    <row r="51" spans="2:21" hidden="1" x14ac:dyDescent="0.25"/>
    <row r="52" spans="2:21" ht="18.75" x14ac:dyDescent="0.3">
      <c r="C52" s="53" t="s">
        <v>105</v>
      </c>
      <c r="E52" s="17">
        <f>E9+E20+E26+E40+E45+E49</f>
        <v>158954.95000000001</v>
      </c>
      <c r="F52" s="17"/>
      <c r="G52" s="17">
        <f>G9+G20+G26+G40+G45+G49</f>
        <v>17581.62</v>
      </c>
      <c r="H52" s="17"/>
      <c r="I52" s="17">
        <f>I9+I20+I26+I40+I45+I49</f>
        <v>11.049999999999999</v>
      </c>
      <c r="J52" s="17">
        <f t="shared" ref="J52:U52" si="21">J9+J20+J26+J40+J45+J49</f>
        <v>0</v>
      </c>
      <c r="K52" s="17">
        <f>K9+K20+K26+K40+K45+K49</f>
        <v>158943.9</v>
      </c>
      <c r="L52" s="17">
        <f t="shared" si="21"/>
        <v>274.08999999999997</v>
      </c>
      <c r="M52" s="17">
        <f t="shared" si="21"/>
        <v>19286.219999999998</v>
      </c>
      <c r="N52" s="17">
        <f t="shared" si="21"/>
        <v>19225.43</v>
      </c>
      <c r="O52" s="17">
        <f t="shared" si="21"/>
        <v>0</v>
      </c>
      <c r="P52" s="17">
        <f>P9+P20+P26+P40+P45+P49</f>
        <v>17664.56925</v>
      </c>
      <c r="Q52" s="17">
        <f t="shared" si="21"/>
        <v>54471.619250000003</v>
      </c>
      <c r="R52" s="134">
        <f>R9+R20+R26+R40+R45+R49</f>
        <v>104472.28075000001</v>
      </c>
      <c r="S52" s="17">
        <f>S9+S20+S26+S40+S45+S49</f>
        <v>7020.3799999999992</v>
      </c>
      <c r="T52" s="17">
        <f>T9+T20+T26+T40+T45+T49</f>
        <v>30720.989999999998</v>
      </c>
      <c r="U52" s="55">
        <f t="shared" si="21"/>
        <v>37741.370000000003</v>
      </c>
    </row>
    <row r="55" spans="2:21" ht="16.5" thickBot="1" x14ac:dyDescent="0.3">
      <c r="E55" s="375"/>
      <c r="F55" s="375"/>
      <c r="G55" s="136"/>
      <c r="H55" s="136"/>
      <c r="P55" s="376"/>
      <c r="Q55" s="376"/>
    </row>
    <row r="56" spans="2:21" ht="15" x14ac:dyDescent="0.25">
      <c r="E56" s="377" t="s">
        <v>177</v>
      </c>
      <c r="F56" s="377"/>
      <c r="G56" s="137"/>
      <c r="H56" s="137"/>
      <c r="P56" s="26"/>
      <c r="Q56" s="26"/>
      <c r="R56" s="378" t="s">
        <v>157</v>
      </c>
      <c r="S56" s="378"/>
    </row>
    <row r="60" spans="2:21" x14ac:dyDescent="0.25">
      <c r="C60" t="s">
        <v>174</v>
      </c>
    </row>
  </sheetData>
  <mergeCells count="5">
    <mergeCell ref="B4:U4"/>
    <mergeCell ref="E55:F55"/>
    <mergeCell ref="P55:Q55"/>
    <mergeCell ref="E56:F56"/>
    <mergeCell ref="R56:S56"/>
  </mergeCells>
  <pageMargins left="0.51181102362204722" right="0.51181102362204722" top="0.15748031496062992" bottom="0.35433070866141736" header="0.31496062992125984" footer="0.31496062992125984"/>
  <pageSetup paperSize="300" scale="38" fitToHeight="0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WVN177"/>
  <sheetViews>
    <sheetView topLeftCell="A7" zoomScale="85" zoomScaleNormal="85" workbookViewId="0">
      <selection activeCell="N8" sqref="N8:N34"/>
    </sheetView>
  </sheetViews>
  <sheetFormatPr baseColWidth="10" defaultColWidth="11.42578125" defaultRowHeight="15" x14ac:dyDescent="0.25"/>
  <cols>
    <col min="1" max="1" width="9.42578125" style="139" customWidth="1"/>
    <col min="2" max="2" width="36.85546875" style="139" customWidth="1"/>
    <col min="3" max="3" width="28.85546875" style="139" customWidth="1"/>
    <col min="4" max="4" width="6.7109375" style="139" customWidth="1"/>
    <col min="5" max="5" width="10.5703125" style="139" bestFit="1" customWidth="1"/>
    <col min="6" max="6" width="15.5703125" style="139" hidden="1" customWidth="1"/>
    <col min="7" max="7" width="17.28515625" style="139" customWidth="1"/>
    <col min="8" max="8" width="19" style="139" hidden="1" customWidth="1"/>
    <col min="9" max="10" width="15.7109375" style="218" hidden="1" customWidth="1"/>
    <col min="11" max="11" width="16.5703125" style="218" customWidth="1"/>
    <col min="12" max="12" width="13.85546875" style="218" customWidth="1"/>
    <col min="13" max="13" width="8.7109375" style="218" bestFit="1" customWidth="1"/>
    <col min="14" max="14" width="15.7109375" style="218" customWidth="1"/>
    <col min="15" max="15" width="14.85546875" style="219" customWidth="1"/>
    <col min="16" max="16" width="13.85546875" style="218" customWidth="1"/>
    <col min="17" max="17" width="14.28515625" style="139" customWidth="1"/>
    <col min="18" max="16384" width="11.42578125" style="139"/>
  </cols>
  <sheetData>
    <row r="4" spans="1:17" ht="15.75" thickBot="1" x14ac:dyDescent="0.3"/>
    <row r="5" spans="1:17" ht="15.75" thickBot="1" x14ac:dyDescent="0.3">
      <c r="B5" s="381" t="s">
        <v>196</v>
      </c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</row>
    <row r="6" spans="1:17" ht="15.75" thickBot="1" x14ac:dyDescent="0.3"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</row>
    <row r="7" spans="1:17" ht="85.5" customHeight="1" thickBot="1" x14ac:dyDescent="0.3">
      <c r="A7" s="141" t="s">
        <v>197</v>
      </c>
      <c r="B7" s="142" t="s">
        <v>198</v>
      </c>
      <c r="C7" s="142" t="s">
        <v>199</v>
      </c>
      <c r="D7" s="142" t="s">
        <v>200</v>
      </c>
      <c r="E7" s="142" t="s">
        <v>201</v>
      </c>
      <c r="F7" s="142" t="s">
        <v>202</v>
      </c>
      <c r="G7" s="143" t="s">
        <v>203</v>
      </c>
      <c r="H7" s="143" t="s">
        <v>204</v>
      </c>
      <c r="I7" s="143" t="s">
        <v>205</v>
      </c>
      <c r="J7" s="143" t="s">
        <v>206</v>
      </c>
      <c r="K7" s="143" t="s">
        <v>207</v>
      </c>
      <c r="L7" s="143" t="s">
        <v>208</v>
      </c>
      <c r="M7" s="143" t="s">
        <v>209</v>
      </c>
      <c r="N7" s="143" t="s">
        <v>210</v>
      </c>
      <c r="O7" s="143" t="s">
        <v>211</v>
      </c>
      <c r="P7" s="143" t="s">
        <v>212</v>
      </c>
      <c r="Q7" s="143" t="s">
        <v>213</v>
      </c>
    </row>
    <row r="8" spans="1:17" s="151" customFormat="1" x14ac:dyDescent="0.25">
      <c r="A8" s="144" t="s">
        <v>21</v>
      </c>
      <c r="B8" s="145" t="s">
        <v>22</v>
      </c>
      <c r="C8" s="145" t="s">
        <v>25</v>
      </c>
      <c r="D8" s="146">
        <v>1</v>
      </c>
      <c r="E8" s="147">
        <f>+G8/30</f>
        <v>1130.3300000000002</v>
      </c>
      <c r="F8" s="147">
        <f>+E8*1.0452</f>
        <v>1181.420916</v>
      </c>
      <c r="G8" s="148">
        <f>33909.9</f>
        <v>33909.9</v>
      </c>
      <c r="H8" s="149">
        <f>+G8*12</f>
        <v>406918.80000000005</v>
      </c>
      <c r="I8" s="149">
        <f t="shared" ref="I8:I42" si="0">(G8/30*10)</f>
        <v>11303.300000000001</v>
      </c>
      <c r="J8" s="149">
        <f>+I8*0.25</f>
        <v>2825.8250000000003</v>
      </c>
      <c r="K8" s="149">
        <f>(G8/30*50)</f>
        <v>56516.500000000007</v>
      </c>
      <c r="L8" s="149">
        <v>25000</v>
      </c>
      <c r="M8" s="149"/>
      <c r="N8" s="150">
        <f>+K8-L8-M8</f>
        <v>31516.500000000007</v>
      </c>
      <c r="O8" s="149">
        <v>2191.1999999999998</v>
      </c>
      <c r="P8" s="149">
        <f>+K8-O8</f>
        <v>54325.30000000001</v>
      </c>
      <c r="Q8" s="150">
        <f>15216-5684.65</f>
        <v>9531.35</v>
      </c>
    </row>
    <row r="9" spans="1:17" x14ac:dyDescent="0.25">
      <c r="A9" s="152" t="s">
        <v>23</v>
      </c>
      <c r="B9" s="153" t="s">
        <v>24</v>
      </c>
      <c r="C9" s="153" t="s">
        <v>3</v>
      </c>
      <c r="D9" s="154">
        <v>1</v>
      </c>
      <c r="E9" s="155">
        <f t="shared" ref="E9:E91" si="1">+G9/30</f>
        <v>323.33333333333331</v>
      </c>
      <c r="F9" s="155">
        <f>+E9*1.0452</f>
        <v>337.94799999999992</v>
      </c>
      <c r="G9" s="156">
        <v>9700</v>
      </c>
      <c r="H9" s="157">
        <f>+G9*12</f>
        <v>116400</v>
      </c>
      <c r="I9" s="157">
        <f t="shared" si="0"/>
        <v>3233.333333333333</v>
      </c>
      <c r="J9" s="157">
        <f>+I9*0.25</f>
        <v>808.33333333333326</v>
      </c>
      <c r="K9" s="157">
        <f>(G9/30*50)</f>
        <v>16166.666666666666</v>
      </c>
      <c r="L9" s="157"/>
      <c r="M9" s="157"/>
      <c r="N9" s="158">
        <f t="shared" ref="N9:N34" si="2">+K9-L9-M9</f>
        <v>16166.666666666666</v>
      </c>
      <c r="O9" s="157">
        <v>2191.1999999999998</v>
      </c>
      <c r="P9" s="157">
        <f>+K9-O9</f>
        <v>13975.466666666667</v>
      </c>
      <c r="Q9" s="158">
        <v>2518.3000000000002</v>
      </c>
    </row>
    <row r="10" spans="1:17" x14ac:dyDescent="0.25">
      <c r="A10" s="159" t="s">
        <v>32</v>
      </c>
      <c r="B10" s="160" t="s">
        <v>37</v>
      </c>
      <c r="C10" s="160" t="s">
        <v>1</v>
      </c>
      <c r="D10" s="161">
        <v>2</v>
      </c>
      <c r="E10" s="162">
        <f t="shared" si="1"/>
        <v>666.66666666666663</v>
      </c>
      <c r="F10" s="162">
        <f t="shared" ref="F10:F91" si="3">+E10*1.0452</f>
        <v>696.8</v>
      </c>
      <c r="G10" s="163">
        <v>20000</v>
      </c>
      <c r="H10" s="164">
        <f t="shared" ref="H10:H42" si="4">+G10*12</f>
        <v>240000</v>
      </c>
      <c r="I10" s="164">
        <f t="shared" si="0"/>
        <v>6666.6666666666661</v>
      </c>
      <c r="J10" s="164">
        <f>+I10*0.25</f>
        <v>1666.6666666666665</v>
      </c>
      <c r="K10" s="164">
        <f>(G10/30*50)</f>
        <v>33333.333333333328</v>
      </c>
      <c r="L10" s="164"/>
      <c r="M10" s="164"/>
      <c r="N10" s="165">
        <f t="shared" si="2"/>
        <v>33333.333333333328</v>
      </c>
      <c r="O10" s="164">
        <v>2191.1999999999998</v>
      </c>
      <c r="P10" s="164">
        <f t="shared" ref="P10:P34" si="5">+K10-O10</f>
        <v>31142.133333333328</v>
      </c>
      <c r="Q10" s="165">
        <v>7533.32</v>
      </c>
    </row>
    <row r="11" spans="1:17" x14ac:dyDescent="0.25">
      <c r="A11" s="159" t="s">
        <v>33</v>
      </c>
      <c r="B11" s="160" t="s">
        <v>38</v>
      </c>
      <c r="C11" s="160" t="s">
        <v>74</v>
      </c>
      <c r="D11" s="161">
        <v>2</v>
      </c>
      <c r="E11" s="162">
        <f t="shared" si="1"/>
        <v>356.66666666666669</v>
      </c>
      <c r="F11" s="162">
        <f t="shared" si="3"/>
        <v>372.78800000000001</v>
      </c>
      <c r="G11" s="163">
        <v>10700</v>
      </c>
      <c r="H11" s="164">
        <f t="shared" si="4"/>
        <v>128400</v>
      </c>
      <c r="I11" s="164">
        <f t="shared" si="0"/>
        <v>3566.666666666667</v>
      </c>
      <c r="J11" s="164">
        <f t="shared" ref="J11:J34" si="6">+I11*0.25</f>
        <v>891.66666666666674</v>
      </c>
      <c r="K11" s="164">
        <f>(G11/30*50)</f>
        <v>17833.333333333336</v>
      </c>
      <c r="L11" s="164"/>
      <c r="M11" s="164"/>
      <c r="N11" s="165">
        <f t="shared" si="2"/>
        <v>17833.333333333336</v>
      </c>
      <c r="O11" s="164">
        <v>2191.1999999999998</v>
      </c>
      <c r="P11" s="164">
        <f t="shared" si="5"/>
        <v>15642.133333333335</v>
      </c>
      <c r="Q11" s="165">
        <v>2910.38</v>
      </c>
    </row>
    <row r="12" spans="1:17" x14ac:dyDescent="0.25">
      <c r="A12" s="159" t="s">
        <v>34</v>
      </c>
      <c r="B12" s="160" t="s">
        <v>178</v>
      </c>
      <c r="C12" s="160" t="s">
        <v>179</v>
      </c>
      <c r="D12" s="161">
        <v>2</v>
      </c>
      <c r="E12" s="162">
        <f t="shared" si="1"/>
        <v>356.66666666666669</v>
      </c>
      <c r="F12" s="162">
        <f t="shared" si="3"/>
        <v>372.78800000000001</v>
      </c>
      <c r="G12" s="163">
        <v>10700</v>
      </c>
      <c r="H12" s="164">
        <f t="shared" si="4"/>
        <v>128400</v>
      </c>
      <c r="I12" s="164">
        <f t="shared" si="0"/>
        <v>3566.666666666667</v>
      </c>
      <c r="J12" s="164">
        <f t="shared" si="6"/>
        <v>891.66666666666674</v>
      </c>
      <c r="K12" s="164">
        <f>(G12/30*29.16)</f>
        <v>10400.400000000001</v>
      </c>
      <c r="L12" s="164">
        <v>5000</v>
      </c>
      <c r="M12" s="164"/>
      <c r="N12" s="165">
        <f t="shared" si="2"/>
        <v>5400.4000000000015</v>
      </c>
      <c r="O12" s="164">
        <v>2191.1999999999998</v>
      </c>
      <c r="P12" s="164">
        <f t="shared" si="5"/>
        <v>8209.2000000000007</v>
      </c>
      <c r="Q12" s="165">
        <f>2910.38-523.55</f>
        <v>2386.83</v>
      </c>
    </row>
    <row r="13" spans="1:17" x14ac:dyDescent="0.25">
      <c r="A13" s="159" t="s">
        <v>35</v>
      </c>
      <c r="B13" s="160" t="s">
        <v>111</v>
      </c>
      <c r="C13" s="160" t="s">
        <v>77</v>
      </c>
      <c r="D13" s="161">
        <v>2</v>
      </c>
      <c r="E13" s="162">
        <f t="shared" si="1"/>
        <v>400</v>
      </c>
      <c r="F13" s="162">
        <f t="shared" si="3"/>
        <v>418.08</v>
      </c>
      <c r="G13" s="163">
        <v>12000</v>
      </c>
      <c r="H13" s="164">
        <f t="shared" si="4"/>
        <v>144000</v>
      </c>
      <c r="I13" s="164">
        <f t="shared" si="0"/>
        <v>4000</v>
      </c>
      <c r="J13" s="164">
        <f t="shared" si="6"/>
        <v>1000</v>
      </c>
      <c r="K13" s="164">
        <f t="shared" ref="K13:K65" si="7">(G13/30*50)</f>
        <v>20000</v>
      </c>
      <c r="L13" s="164"/>
      <c r="M13" s="164"/>
      <c r="N13" s="165">
        <f t="shared" si="2"/>
        <v>20000</v>
      </c>
      <c r="O13" s="164">
        <v>2191.1999999999998</v>
      </c>
      <c r="P13" s="164">
        <f t="shared" si="5"/>
        <v>17808.8</v>
      </c>
      <c r="Q13" s="165">
        <v>3527</v>
      </c>
    </row>
    <row r="14" spans="1:17" x14ac:dyDescent="0.25">
      <c r="A14" s="159" t="s">
        <v>36</v>
      </c>
      <c r="B14" s="160" t="s">
        <v>86</v>
      </c>
      <c r="C14" s="160" t="s">
        <v>39</v>
      </c>
      <c r="D14" s="161">
        <v>2</v>
      </c>
      <c r="E14" s="162">
        <f t="shared" si="1"/>
        <v>300</v>
      </c>
      <c r="F14" s="162">
        <f t="shared" si="3"/>
        <v>313.55999999999995</v>
      </c>
      <c r="G14" s="163">
        <v>9000</v>
      </c>
      <c r="H14" s="164">
        <f t="shared" si="4"/>
        <v>108000</v>
      </c>
      <c r="I14" s="164">
        <f t="shared" si="0"/>
        <v>3000</v>
      </c>
      <c r="J14" s="164">
        <f t="shared" si="6"/>
        <v>750</v>
      </c>
      <c r="K14" s="164">
        <f t="shared" si="7"/>
        <v>15000</v>
      </c>
      <c r="L14" s="164">
        <v>7000</v>
      </c>
      <c r="M14" s="164"/>
      <c r="N14" s="165">
        <f t="shared" si="2"/>
        <v>8000</v>
      </c>
      <c r="O14" s="164">
        <v>2191.1999999999998</v>
      </c>
      <c r="P14" s="164">
        <f t="shared" si="5"/>
        <v>12808.8</v>
      </c>
      <c r="Q14" s="165">
        <f>2244-947.94</f>
        <v>1296.06</v>
      </c>
    </row>
    <row r="15" spans="1:17" x14ac:dyDescent="0.25">
      <c r="A15" s="159" t="s">
        <v>115</v>
      </c>
      <c r="B15" s="160" t="s">
        <v>87</v>
      </c>
      <c r="C15" s="160" t="s">
        <v>39</v>
      </c>
      <c r="D15" s="161">
        <v>2</v>
      </c>
      <c r="E15" s="162">
        <f t="shared" si="1"/>
        <v>300</v>
      </c>
      <c r="F15" s="162">
        <f t="shared" si="3"/>
        <v>313.55999999999995</v>
      </c>
      <c r="G15" s="163">
        <v>9000</v>
      </c>
      <c r="H15" s="164">
        <f t="shared" si="4"/>
        <v>108000</v>
      </c>
      <c r="I15" s="164">
        <f t="shared" si="0"/>
        <v>3000</v>
      </c>
      <c r="J15" s="164">
        <f t="shared" si="6"/>
        <v>750</v>
      </c>
      <c r="K15" s="164">
        <f t="shared" si="7"/>
        <v>15000</v>
      </c>
      <c r="L15" s="164"/>
      <c r="M15" s="164">
        <v>41.1</v>
      </c>
      <c r="N15" s="165">
        <f t="shared" si="2"/>
        <v>14958.9</v>
      </c>
      <c r="O15" s="164">
        <v>2191.1999999999998</v>
      </c>
      <c r="P15" s="164">
        <f t="shared" si="5"/>
        <v>12808.8</v>
      </c>
      <c r="Q15" s="165">
        <v>2244</v>
      </c>
    </row>
    <row r="16" spans="1:17" x14ac:dyDescent="0.25">
      <c r="A16" s="159" t="s">
        <v>116</v>
      </c>
      <c r="B16" s="160" t="s">
        <v>89</v>
      </c>
      <c r="C16" s="160" t="s">
        <v>4</v>
      </c>
      <c r="D16" s="161">
        <v>2</v>
      </c>
      <c r="E16" s="162">
        <f t="shared" si="1"/>
        <v>180</v>
      </c>
      <c r="F16" s="162">
        <f t="shared" si="3"/>
        <v>188.136</v>
      </c>
      <c r="G16" s="163">
        <v>5400</v>
      </c>
      <c r="H16" s="164">
        <f t="shared" si="4"/>
        <v>64800</v>
      </c>
      <c r="I16" s="164">
        <f t="shared" si="0"/>
        <v>1800</v>
      </c>
      <c r="J16" s="164">
        <f t="shared" si="6"/>
        <v>450</v>
      </c>
      <c r="K16" s="164">
        <f t="shared" si="7"/>
        <v>9000</v>
      </c>
      <c r="L16" s="164"/>
      <c r="M16" s="164"/>
      <c r="N16" s="165">
        <f t="shared" si="2"/>
        <v>9000</v>
      </c>
      <c r="O16" s="164">
        <v>2191.1999999999998</v>
      </c>
      <c r="P16" s="164">
        <f t="shared" si="5"/>
        <v>6808.8</v>
      </c>
      <c r="Q16" s="165">
        <v>907.14</v>
      </c>
    </row>
    <row r="17" spans="1:17" x14ac:dyDescent="0.25">
      <c r="A17" s="159" t="s">
        <v>117</v>
      </c>
      <c r="B17" s="160" t="s">
        <v>88</v>
      </c>
      <c r="C17" s="160" t="s">
        <v>40</v>
      </c>
      <c r="D17" s="161">
        <v>2</v>
      </c>
      <c r="E17" s="162">
        <f t="shared" si="1"/>
        <v>210</v>
      </c>
      <c r="F17" s="162">
        <f t="shared" si="3"/>
        <v>219.49199999999999</v>
      </c>
      <c r="G17" s="163">
        <v>6300</v>
      </c>
      <c r="H17" s="164">
        <f t="shared" si="4"/>
        <v>75600</v>
      </c>
      <c r="I17" s="164">
        <f t="shared" si="0"/>
        <v>2100</v>
      </c>
      <c r="J17" s="164">
        <f t="shared" si="6"/>
        <v>525</v>
      </c>
      <c r="K17" s="164">
        <f t="shared" si="7"/>
        <v>10500</v>
      </c>
      <c r="L17" s="164"/>
      <c r="M17" s="164"/>
      <c r="N17" s="165">
        <f t="shared" si="2"/>
        <v>10500</v>
      </c>
      <c r="O17" s="164">
        <v>2191.1999999999998</v>
      </c>
      <c r="P17" s="164">
        <f t="shared" si="5"/>
        <v>8308.7999999999993</v>
      </c>
      <c r="Q17" s="165">
        <v>1227.54</v>
      </c>
    </row>
    <row r="18" spans="1:17" s="173" customFormat="1" x14ac:dyDescent="0.25">
      <c r="A18" s="166" t="s">
        <v>119</v>
      </c>
      <c r="B18" s="167" t="s">
        <v>91</v>
      </c>
      <c r="C18" s="167" t="s">
        <v>76</v>
      </c>
      <c r="D18" s="168">
        <v>4</v>
      </c>
      <c r="E18" s="169">
        <f>+G18/30</f>
        <v>356.66666666666669</v>
      </c>
      <c r="F18" s="169">
        <f>+E18*1.0452</f>
        <v>372.78800000000001</v>
      </c>
      <c r="G18" s="170">
        <v>10700</v>
      </c>
      <c r="H18" s="171">
        <f t="shared" si="4"/>
        <v>128400</v>
      </c>
      <c r="I18" s="171">
        <f t="shared" si="0"/>
        <v>3566.666666666667</v>
      </c>
      <c r="J18" s="171">
        <f>+I18*0.25</f>
        <v>891.66666666666674</v>
      </c>
      <c r="K18" s="171">
        <f t="shared" si="7"/>
        <v>17833.333333333336</v>
      </c>
      <c r="L18" s="171"/>
      <c r="M18" s="171">
        <v>439.74</v>
      </c>
      <c r="N18" s="172">
        <f t="shared" si="2"/>
        <v>17393.593333333334</v>
      </c>
      <c r="O18" s="171">
        <v>2191.1999999999998</v>
      </c>
      <c r="P18" s="171">
        <f t="shared" si="5"/>
        <v>15642.133333333335</v>
      </c>
      <c r="Q18" s="172">
        <v>2910.38</v>
      </c>
    </row>
    <row r="19" spans="1:17" s="173" customFormat="1" x14ac:dyDescent="0.25">
      <c r="A19" s="166" t="s">
        <v>120</v>
      </c>
      <c r="B19" s="167" t="s">
        <v>93</v>
      </c>
      <c r="C19" s="167" t="s">
        <v>78</v>
      </c>
      <c r="D19" s="174">
        <v>4</v>
      </c>
      <c r="E19" s="169">
        <f>+G19/30</f>
        <v>356.66666666666669</v>
      </c>
      <c r="F19" s="169">
        <f>+E19*1.0452</f>
        <v>372.78800000000001</v>
      </c>
      <c r="G19" s="170">
        <v>10700</v>
      </c>
      <c r="H19" s="171">
        <f t="shared" si="4"/>
        <v>128400</v>
      </c>
      <c r="I19" s="171">
        <f t="shared" si="0"/>
        <v>3566.666666666667</v>
      </c>
      <c r="J19" s="171">
        <f t="shared" si="6"/>
        <v>891.66666666666674</v>
      </c>
      <c r="K19" s="171">
        <f t="shared" si="7"/>
        <v>17833.333333333336</v>
      </c>
      <c r="L19" s="171"/>
      <c r="M19" s="171">
        <v>48.86</v>
      </c>
      <c r="N19" s="172">
        <f t="shared" si="2"/>
        <v>17784.473333333335</v>
      </c>
      <c r="O19" s="171">
        <v>2191.1999999999998</v>
      </c>
      <c r="P19" s="171">
        <f t="shared" si="5"/>
        <v>15642.133333333335</v>
      </c>
      <c r="Q19" s="172">
        <v>2910.38</v>
      </c>
    </row>
    <row r="20" spans="1:17" s="173" customFormat="1" x14ac:dyDescent="0.25">
      <c r="A20" s="166" t="s">
        <v>121</v>
      </c>
      <c r="B20" s="167" t="s">
        <v>114</v>
      </c>
      <c r="C20" s="167" t="s">
        <v>79</v>
      </c>
      <c r="D20" s="168">
        <v>4</v>
      </c>
      <c r="E20" s="169">
        <f>+G20/30</f>
        <v>356.66666666666669</v>
      </c>
      <c r="F20" s="169">
        <f>+E20*1.0452</f>
        <v>372.78800000000001</v>
      </c>
      <c r="G20" s="170">
        <v>10700</v>
      </c>
      <c r="H20" s="171">
        <f t="shared" si="4"/>
        <v>128400</v>
      </c>
      <c r="I20" s="171">
        <f t="shared" si="0"/>
        <v>3566.666666666667</v>
      </c>
      <c r="J20" s="171">
        <f t="shared" si="6"/>
        <v>891.66666666666674</v>
      </c>
      <c r="K20" s="171">
        <f t="shared" si="7"/>
        <v>17833.333333333336</v>
      </c>
      <c r="L20" s="171"/>
      <c r="M20" s="171"/>
      <c r="N20" s="172">
        <f t="shared" si="2"/>
        <v>17833.333333333336</v>
      </c>
      <c r="O20" s="171">
        <v>2191.1999999999998</v>
      </c>
      <c r="P20" s="171">
        <f t="shared" si="5"/>
        <v>15642.133333333335</v>
      </c>
      <c r="Q20" s="172">
        <v>2910.38</v>
      </c>
    </row>
    <row r="21" spans="1:17" x14ac:dyDescent="0.25">
      <c r="A21" s="175" t="s">
        <v>122</v>
      </c>
      <c r="B21" s="176" t="s">
        <v>97</v>
      </c>
      <c r="C21" s="176" t="s">
        <v>80</v>
      </c>
      <c r="D21" s="177">
        <v>5</v>
      </c>
      <c r="E21" s="178">
        <f t="shared" si="1"/>
        <v>356.66666666666669</v>
      </c>
      <c r="F21" s="178">
        <f t="shared" si="3"/>
        <v>372.78800000000001</v>
      </c>
      <c r="G21" s="179">
        <v>10700</v>
      </c>
      <c r="H21" s="180">
        <f t="shared" si="4"/>
        <v>128400</v>
      </c>
      <c r="I21" s="180">
        <f t="shared" si="0"/>
        <v>3566.666666666667</v>
      </c>
      <c r="J21" s="180">
        <f t="shared" si="6"/>
        <v>891.66666666666674</v>
      </c>
      <c r="K21" s="180">
        <f t="shared" si="7"/>
        <v>17833.333333333336</v>
      </c>
      <c r="L21" s="180"/>
      <c r="M21" s="180"/>
      <c r="N21" s="181">
        <f t="shared" si="2"/>
        <v>17833.333333333336</v>
      </c>
      <c r="O21" s="180">
        <v>2191.1999999999998</v>
      </c>
      <c r="P21" s="180">
        <f t="shared" si="5"/>
        <v>15642.133333333335</v>
      </c>
      <c r="Q21" s="181">
        <v>2910.38</v>
      </c>
    </row>
    <row r="22" spans="1:17" x14ac:dyDescent="0.25">
      <c r="A22" s="175" t="s">
        <v>123</v>
      </c>
      <c r="B22" s="176" t="s">
        <v>100</v>
      </c>
      <c r="C22" s="176" t="s">
        <v>80</v>
      </c>
      <c r="D22" s="177">
        <v>5</v>
      </c>
      <c r="E22" s="178">
        <f t="shared" si="1"/>
        <v>356.66666666666669</v>
      </c>
      <c r="F22" s="178">
        <f t="shared" si="3"/>
        <v>372.78800000000001</v>
      </c>
      <c r="G22" s="179">
        <v>10700</v>
      </c>
      <c r="H22" s="180">
        <f t="shared" si="4"/>
        <v>128400</v>
      </c>
      <c r="I22" s="180">
        <f t="shared" si="0"/>
        <v>3566.666666666667</v>
      </c>
      <c r="J22" s="180">
        <f>+I22*0.25</f>
        <v>891.66666666666674</v>
      </c>
      <c r="K22" s="180">
        <f t="shared" si="7"/>
        <v>17833.333333333336</v>
      </c>
      <c r="L22" s="180"/>
      <c r="M22" s="180"/>
      <c r="N22" s="181">
        <f t="shared" si="2"/>
        <v>17833.333333333336</v>
      </c>
      <c r="O22" s="180">
        <v>2191.1999999999998</v>
      </c>
      <c r="P22" s="180">
        <f t="shared" si="5"/>
        <v>15642.133333333335</v>
      </c>
      <c r="Q22" s="181">
        <v>2910.38</v>
      </c>
    </row>
    <row r="23" spans="1:17" x14ac:dyDescent="0.25">
      <c r="A23" s="175" t="s">
        <v>124</v>
      </c>
      <c r="B23" s="176" t="s">
        <v>96</v>
      </c>
      <c r="C23" s="176" t="s">
        <v>78</v>
      </c>
      <c r="D23" s="182">
        <v>5</v>
      </c>
      <c r="E23" s="178">
        <f t="shared" si="1"/>
        <v>356.66666666666669</v>
      </c>
      <c r="F23" s="178">
        <f t="shared" si="3"/>
        <v>372.78800000000001</v>
      </c>
      <c r="G23" s="179">
        <v>10700</v>
      </c>
      <c r="H23" s="180">
        <f t="shared" si="4"/>
        <v>128400</v>
      </c>
      <c r="I23" s="180">
        <f t="shared" si="0"/>
        <v>3566.666666666667</v>
      </c>
      <c r="J23" s="180">
        <f t="shared" si="6"/>
        <v>891.66666666666674</v>
      </c>
      <c r="K23" s="180">
        <f t="shared" si="7"/>
        <v>17833.333333333336</v>
      </c>
      <c r="L23" s="180"/>
      <c r="M23" s="180"/>
      <c r="N23" s="181">
        <f t="shared" si="2"/>
        <v>17833.333333333336</v>
      </c>
      <c r="O23" s="180">
        <v>2191.1999999999998</v>
      </c>
      <c r="P23" s="180">
        <f t="shared" si="5"/>
        <v>15642.133333333335</v>
      </c>
      <c r="Q23" s="181">
        <v>2910.38</v>
      </c>
    </row>
    <row r="24" spans="1:17" x14ac:dyDescent="0.25">
      <c r="A24" s="175" t="s">
        <v>125</v>
      </c>
      <c r="B24" s="176" t="s">
        <v>104</v>
      </c>
      <c r="C24" s="176" t="s">
        <v>78</v>
      </c>
      <c r="D24" s="182">
        <v>5</v>
      </c>
      <c r="E24" s="178">
        <f t="shared" si="1"/>
        <v>356.66666666666669</v>
      </c>
      <c r="F24" s="178">
        <f t="shared" si="3"/>
        <v>372.78800000000001</v>
      </c>
      <c r="G24" s="179">
        <v>10700</v>
      </c>
      <c r="H24" s="180">
        <f t="shared" si="4"/>
        <v>128400</v>
      </c>
      <c r="I24" s="180">
        <f t="shared" si="0"/>
        <v>3566.666666666667</v>
      </c>
      <c r="J24" s="180">
        <f t="shared" si="6"/>
        <v>891.66666666666674</v>
      </c>
      <c r="K24" s="180">
        <f t="shared" si="7"/>
        <v>17833.333333333336</v>
      </c>
      <c r="L24" s="180"/>
      <c r="M24" s="180"/>
      <c r="N24" s="181">
        <f t="shared" si="2"/>
        <v>17833.333333333336</v>
      </c>
      <c r="O24" s="180">
        <v>2191.1999999999998</v>
      </c>
      <c r="P24" s="180">
        <f t="shared" si="5"/>
        <v>15642.133333333335</v>
      </c>
      <c r="Q24" s="181">
        <v>2910.38</v>
      </c>
    </row>
    <row r="25" spans="1:17" x14ac:dyDescent="0.25">
      <c r="A25" s="175" t="s">
        <v>126</v>
      </c>
      <c r="B25" s="176" t="s">
        <v>94</v>
      </c>
      <c r="C25" s="176" t="s">
        <v>81</v>
      </c>
      <c r="D25" s="182">
        <v>5</v>
      </c>
      <c r="E25" s="178">
        <f t="shared" si="1"/>
        <v>356.66666666666669</v>
      </c>
      <c r="F25" s="178">
        <f t="shared" si="3"/>
        <v>372.78800000000001</v>
      </c>
      <c r="G25" s="179">
        <v>10700</v>
      </c>
      <c r="H25" s="180">
        <f t="shared" si="4"/>
        <v>128400</v>
      </c>
      <c r="I25" s="180">
        <f t="shared" si="0"/>
        <v>3566.666666666667</v>
      </c>
      <c r="J25" s="180">
        <f t="shared" si="6"/>
        <v>891.66666666666674</v>
      </c>
      <c r="K25" s="180">
        <f t="shared" si="7"/>
        <v>17833.333333333336</v>
      </c>
      <c r="L25" s="180"/>
      <c r="M25" s="180"/>
      <c r="N25" s="181">
        <f t="shared" si="2"/>
        <v>17833.333333333336</v>
      </c>
      <c r="O25" s="180">
        <v>2191.1999999999998</v>
      </c>
      <c r="P25" s="180">
        <f t="shared" si="5"/>
        <v>15642.133333333335</v>
      </c>
      <c r="Q25" s="181">
        <v>2910.38</v>
      </c>
    </row>
    <row r="26" spans="1:17" x14ac:dyDescent="0.25">
      <c r="A26" s="175" t="s">
        <v>127</v>
      </c>
      <c r="B26" s="176" t="s">
        <v>98</v>
      </c>
      <c r="C26" s="176" t="s">
        <v>81</v>
      </c>
      <c r="D26" s="182">
        <v>5</v>
      </c>
      <c r="E26" s="178">
        <f t="shared" si="1"/>
        <v>356.66666666666669</v>
      </c>
      <c r="F26" s="178">
        <f t="shared" si="3"/>
        <v>372.78800000000001</v>
      </c>
      <c r="G26" s="179">
        <v>10700</v>
      </c>
      <c r="H26" s="180">
        <f t="shared" si="4"/>
        <v>128400</v>
      </c>
      <c r="I26" s="180">
        <f t="shared" si="0"/>
        <v>3566.666666666667</v>
      </c>
      <c r="J26" s="180">
        <f t="shared" si="6"/>
        <v>891.66666666666674</v>
      </c>
      <c r="K26" s="180">
        <f t="shared" si="7"/>
        <v>17833.333333333336</v>
      </c>
      <c r="L26" s="180"/>
      <c r="M26" s="180">
        <v>48.86</v>
      </c>
      <c r="N26" s="181">
        <f t="shared" si="2"/>
        <v>17784.473333333335</v>
      </c>
      <c r="O26" s="180">
        <v>2191.1999999999998</v>
      </c>
      <c r="P26" s="180">
        <f t="shared" si="5"/>
        <v>15642.133333333335</v>
      </c>
      <c r="Q26" s="181">
        <v>2910.38</v>
      </c>
    </row>
    <row r="27" spans="1:17" x14ac:dyDescent="0.25">
      <c r="A27" s="175" t="s">
        <v>128</v>
      </c>
      <c r="B27" s="176" t="s">
        <v>101</v>
      </c>
      <c r="C27" s="176" t="s">
        <v>81</v>
      </c>
      <c r="D27" s="182">
        <v>5</v>
      </c>
      <c r="E27" s="178">
        <f t="shared" si="1"/>
        <v>356.66666666666669</v>
      </c>
      <c r="F27" s="178">
        <f t="shared" si="3"/>
        <v>372.78800000000001</v>
      </c>
      <c r="G27" s="179">
        <v>10700</v>
      </c>
      <c r="H27" s="180">
        <f t="shared" si="4"/>
        <v>128400</v>
      </c>
      <c r="I27" s="180">
        <f t="shared" si="0"/>
        <v>3566.666666666667</v>
      </c>
      <c r="J27" s="180">
        <f t="shared" si="6"/>
        <v>891.66666666666674</v>
      </c>
      <c r="K27" s="180">
        <f t="shared" si="7"/>
        <v>17833.333333333336</v>
      </c>
      <c r="L27" s="180"/>
      <c r="M27" s="180"/>
      <c r="N27" s="181">
        <f t="shared" si="2"/>
        <v>17833.333333333336</v>
      </c>
      <c r="O27" s="180">
        <v>2191.1999999999998</v>
      </c>
      <c r="P27" s="180">
        <f t="shared" si="5"/>
        <v>15642.133333333335</v>
      </c>
      <c r="Q27" s="181">
        <v>2910.38</v>
      </c>
    </row>
    <row r="28" spans="1:17" x14ac:dyDescent="0.25">
      <c r="A28" s="175" t="s">
        <v>129</v>
      </c>
      <c r="B28" s="176" t="s">
        <v>95</v>
      </c>
      <c r="C28" s="176" t="s">
        <v>82</v>
      </c>
      <c r="D28" s="182">
        <v>5</v>
      </c>
      <c r="E28" s="178">
        <f t="shared" si="1"/>
        <v>356.66666666666669</v>
      </c>
      <c r="F28" s="178">
        <f t="shared" si="3"/>
        <v>372.78800000000001</v>
      </c>
      <c r="G28" s="179">
        <v>10700</v>
      </c>
      <c r="H28" s="180">
        <f t="shared" si="4"/>
        <v>128400</v>
      </c>
      <c r="I28" s="180">
        <f t="shared" si="0"/>
        <v>3566.666666666667</v>
      </c>
      <c r="J28" s="180">
        <f t="shared" si="6"/>
        <v>891.66666666666674</v>
      </c>
      <c r="K28" s="180">
        <f t="shared" si="7"/>
        <v>17833.333333333336</v>
      </c>
      <c r="L28" s="180"/>
      <c r="M28" s="180"/>
      <c r="N28" s="181">
        <f t="shared" si="2"/>
        <v>17833.333333333336</v>
      </c>
      <c r="O28" s="180">
        <v>2191.1999999999998</v>
      </c>
      <c r="P28" s="180">
        <f t="shared" si="5"/>
        <v>15642.133333333335</v>
      </c>
      <c r="Q28" s="181">
        <v>2910.38</v>
      </c>
    </row>
    <row r="29" spans="1:17" x14ac:dyDescent="0.25">
      <c r="A29" s="175" t="s">
        <v>130</v>
      </c>
      <c r="B29" s="176" t="s">
        <v>102</v>
      </c>
      <c r="C29" s="176" t="s">
        <v>82</v>
      </c>
      <c r="D29" s="182">
        <v>5</v>
      </c>
      <c r="E29" s="178">
        <f t="shared" si="1"/>
        <v>356.66666666666669</v>
      </c>
      <c r="F29" s="178">
        <f t="shared" si="3"/>
        <v>372.78800000000001</v>
      </c>
      <c r="G29" s="179">
        <v>10700</v>
      </c>
      <c r="H29" s="180">
        <f t="shared" si="4"/>
        <v>128400</v>
      </c>
      <c r="I29" s="180">
        <f t="shared" si="0"/>
        <v>3566.666666666667</v>
      </c>
      <c r="J29" s="180">
        <f t="shared" si="6"/>
        <v>891.66666666666674</v>
      </c>
      <c r="K29" s="180">
        <f t="shared" si="7"/>
        <v>17833.333333333336</v>
      </c>
      <c r="L29" s="180"/>
      <c r="M29" s="180"/>
      <c r="N29" s="181">
        <f t="shared" si="2"/>
        <v>17833.333333333336</v>
      </c>
      <c r="O29" s="180">
        <v>2191.1999999999998</v>
      </c>
      <c r="P29" s="180">
        <f t="shared" si="5"/>
        <v>15642.133333333335</v>
      </c>
      <c r="Q29" s="181">
        <v>2910.38</v>
      </c>
    </row>
    <row r="30" spans="1:17" s="173" customFormat="1" x14ac:dyDescent="0.25">
      <c r="A30" s="175" t="s">
        <v>131</v>
      </c>
      <c r="B30" s="176" t="s">
        <v>85</v>
      </c>
      <c r="C30" s="176" t="s">
        <v>83</v>
      </c>
      <c r="D30" s="182">
        <v>5</v>
      </c>
      <c r="E30" s="178">
        <f t="shared" si="1"/>
        <v>356.66666666666669</v>
      </c>
      <c r="F30" s="178">
        <f t="shared" si="3"/>
        <v>372.78800000000001</v>
      </c>
      <c r="G30" s="179">
        <v>10700</v>
      </c>
      <c r="H30" s="180">
        <f t="shared" si="4"/>
        <v>128400</v>
      </c>
      <c r="I30" s="180">
        <f t="shared" si="0"/>
        <v>3566.666666666667</v>
      </c>
      <c r="J30" s="180">
        <f t="shared" si="6"/>
        <v>891.66666666666674</v>
      </c>
      <c r="K30" s="180">
        <f t="shared" si="7"/>
        <v>17833.333333333336</v>
      </c>
      <c r="L30" s="180"/>
      <c r="M30" s="180"/>
      <c r="N30" s="181">
        <f t="shared" si="2"/>
        <v>17833.333333333336</v>
      </c>
      <c r="O30" s="180">
        <v>2191.1999999999998</v>
      </c>
      <c r="P30" s="180">
        <f t="shared" si="5"/>
        <v>15642.133333333335</v>
      </c>
      <c r="Q30" s="181">
        <v>2910.38</v>
      </c>
    </row>
    <row r="31" spans="1:17" x14ac:dyDescent="0.25">
      <c r="A31" s="175" t="s">
        <v>132</v>
      </c>
      <c r="B31" s="176" t="s">
        <v>103</v>
      </c>
      <c r="C31" s="176" t="s">
        <v>83</v>
      </c>
      <c r="D31" s="182">
        <v>5</v>
      </c>
      <c r="E31" s="178">
        <f t="shared" si="1"/>
        <v>356.66666666666669</v>
      </c>
      <c r="F31" s="178">
        <f t="shared" si="3"/>
        <v>372.78800000000001</v>
      </c>
      <c r="G31" s="179">
        <v>10700</v>
      </c>
      <c r="H31" s="180">
        <f t="shared" si="4"/>
        <v>128400</v>
      </c>
      <c r="I31" s="180">
        <f t="shared" si="0"/>
        <v>3566.666666666667</v>
      </c>
      <c r="J31" s="180">
        <f t="shared" si="6"/>
        <v>891.66666666666674</v>
      </c>
      <c r="K31" s="180">
        <f t="shared" si="7"/>
        <v>17833.333333333336</v>
      </c>
      <c r="L31" s="180"/>
      <c r="M31" s="180"/>
      <c r="N31" s="181">
        <f t="shared" si="2"/>
        <v>17833.333333333336</v>
      </c>
      <c r="O31" s="180">
        <v>2191.1999999999998</v>
      </c>
      <c r="P31" s="180">
        <f t="shared" si="5"/>
        <v>15642.133333333335</v>
      </c>
      <c r="Q31" s="181">
        <v>2910.38</v>
      </c>
    </row>
    <row r="32" spans="1:17" x14ac:dyDescent="0.25">
      <c r="A32" s="152" t="s">
        <v>133</v>
      </c>
      <c r="B32" s="153" t="s">
        <v>99</v>
      </c>
      <c r="C32" s="153" t="s">
        <v>80</v>
      </c>
      <c r="D32" s="183">
        <v>6</v>
      </c>
      <c r="E32" s="155">
        <f t="shared" si="1"/>
        <v>356.66666666666669</v>
      </c>
      <c r="F32" s="155">
        <f t="shared" si="3"/>
        <v>372.78800000000001</v>
      </c>
      <c r="G32" s="156">
        <v>10700</v>
      </c>
      <c r="H32" s="157">
        <f t="shared" si="4"/>
        <v>128400</v>
      </c>
      <c r="I32" s="157">
        <f t="shared" si="0"/>
        <v>3566.666666666667</v>
      </c>
      <c r="J32" s="157">
        <f t="shared" si="6"/>
        <v>891.66666666666674</v>
      </c>
      <c r="K32" s="157">
        <f t="shared" si="7"/>
        <v>17833.333333333336</v>
      </c>
      <c r="L32" s="157"/>
      <c r="M32" s="157"/>
      <c r="N32" s="158">
        <f t="shared" si="2"/>
        <v>17833.333333333336</v>
      </c>
      <c r="O32" s="157">
        <v>2191.1999999999998</v>
      </c>
      <c r="P32" s="157">
        <f t="shared" si="5"/>
        <v>15642.133333333335</v>
      </c>
      <c r="Q32" s="158">
        <v>2910.38</v>
      </c>
    </row>
    <row r="33" spans="1:17" x14ac:dyDescent="0.25">
      <c r="A33" s="152" t="s">
        <v>152</v>
      </c>
      <c r="B33" s="153" t="s">
        <v>92</v>
      </c>
      <c r="C33" s="153" t="s">
        <v>80</v>
      </c>
      <c r="D33" s="183">
        <v>6</v>
      </c>
      <c r="E33" s="155">
        <f t="shared" si="1"/>
        <v>356.66666666666669</v>
      </c>
      <c r="F33" s="155">
        <f t="shared" si="3"/>
        <v>372.78800000000001</v>
      </c>
      <c r="G33" s="156">
        <v>10700</v>
      </c>
      <c r="H33" s="157">
        <f t="shared" si="4"/>
        <v>128400</v>
      </c>
      <c r="I33" s="157">
        <f t="shared" si="0"/>
        <v>3566.666666666667</v>
      </c>
      <c r="J33" s="157">
        <f t="shared" si="6"/>
        <v>891.66666666666674</v>
      </c>
      <c r="K33" s="157">
        <f t="shared" si="7"/>
        <v>17833.333333333336</v>
      </c>
      <c r="L33" s="157"/>
      <c r="M33" s="157"/>
      <c r="N33" s="158">
        <f t="shared" si="2"/>
        <v>17833.333333333336</v>
      </c>
      <c r="O33" s="157">
        <v>2191.1999999999998</v>
      </c>
      <c r="P33" s="157">
        <f t="shared" si="5"/>
        <v>15642.133333333335</v>
      </c>
      <c r="Q33" s="158">
        <v>2910.38</v>
      </c>
    </row>
    <row r="34" spans="1:17" ht="15.75" thickBot="1" x14ac:dyDescent="0.3">
      <c r="A34" s="184" t="s">
        <v>163</v>
      </c>
      <c r="B34" s="185" t="s">
        <v>42</v>
      </c>
      <c r="C34" s="185" t="s">
        <v>2</v>
      </c>
      <c r="D34" s="186">
        <v>7</v>
      </c>
      <c r="E34" s="187">
        <f t="shared" si="1"/>
        <v>666.66666666666663</v>
      </c>
      <c r="F34" s="187">
        <f t="shared" si="3"/>
        <v>696.8</v>
      </c>
      <c r="G34" s="188">
        <v>20000</v>
      </c>
      <c r="H34" s="189">
        <f t="shared" si="4"/>
        <v>240000</v>
      </c>
      <c r="I34" s="189">
        <f t="shared" si="0"/>
        <v>6666.6666666666661</v>
      </c>
      <c r="J34" s="189">
        <f t="shared" si="6"/>
        <v>1666.6666666666665</v>
      </c>
      <c r="K34" s="189">
        <f t="shared" si="7"/>
        <v>33333.333333333328</v>
      </c>
      <c r="L34" s="189">
        <v>7000</v>
      </c>
      <c r="M34" s="189">
        <v>0</v>
      </c>
      <c r="N34" s="190">
        <f t="shared" si="2"/>
        <v>26333.333333333328</v>
      </c>
      <c r="O34" s="189">
        <v>2191.1999999999998</v>
      </c>
      <c r="P34" s="189">
        <f t="shared" si="5"/>
        <v>31142.133333333328</v>
      </c>
      <c r="Q34" s="190">
        <f>7533.32-947.94</f>
        <v>6585.3799999999992</v>
      </c>
    </row>
    <row r="35" spans="1:17" hidden="1" x14ac:dyDescent="0.25">
      <c r="A35" s="191"/>
      <c r="B35" s="191"/>
      <c r="C35" s="192"/>
      <c r="D35" s="193"/>
      <c r="E35" s="194">
        <f t="shared" si="1"/>
        <v>0</v>
      </c>
      <c r="F35" s="195">
        <f t="shared" si="3"/>
        <v>0</v>
      </c>
      <c r="G35" s="196">
        <v>0</v>
      </c>
      <c r="H35" s="197">
        <f t="shared" si="4"/>
        <v>0</v>
      </c>
      <c r="I35" s="197">
        <f t="shared" si="0"/>
        <v>0</v>
      </c>
      <c r="J35" s="197"/>
      <c r="K35" s="197">
        <f t="shared" si="7"/>
        <v>0</v>
      </c>
      <c r="L35" s="197"/>
      <c r="M35" s="197"/>
      <c r="N35" s="197"/>
      <c r="O35" s="197">
        <v>0</v>
      </c>
      <c r="P35" s="197">
        <v>0</v>
      </c>
      <c r="Q35" s="197" t="e">
        <f>+#REF!</f>
        <v>#REF!</v>
      </c>
    </row>
    <row r="36" spans="1:17" s="173" customFormat="1" hidden="1" x14ac:dyDescent="0.25">
      <c r="A36" s="198"/>
      <c r="B36" s="198"/>
      <c r="C36" s="199"/>
      <c r="D36" s="200"/>
      <c r="E36" s="201">
        <f t="shared" si="1"/>
        <v>0</v>
      </c>
      <c r="F36" s="202">
        <f t="shared" si="3"/>
        <v>0</v>
      </c>
      <c r="G36" s="203">
        <v>0</v>
      </c>
      <c r="H36" s="204">
        <f t="shared" si="4"/>
        <v>0</v>
      </c>
      <c r="I36" s="204">
        <f t="shared" si="0"/>
        <v>0</v>
      </c>
      <c r="J36" s="204"/>
      <c r="K36" s="204">
        <f t="shared" si="7"/>
        <v>0</v>
      </c>
      <c r="L36" s="204"/>
      <c r="M36" s="204"/>
      <c r="N36" s="204"/>
      <c r="O36" s="205">
        <v>0</v>
      </c>
      <c r="P36" s="204">
        <v>0</v>
      </c>
      <c r="Q36" s="204" t="e">
        <f>+#REF!</f>
        <v>#REF!</v>
      </c>
    </row>
    <row r="37" spans="1:17" s="173" customFormat="1" hidden="1" x14ac:dyDescent="0.25">
      <c r="A37" s="198"/>
      <c r="B37" s="198"/>
      <c r="C37" s="199"/>
      <c r="D37" s="200"/>
      <c r="E37" s="201">
        <f t="shared" si="1"/>
        <v>0</v>
      </c>
      <c r="F37" s="202">
        <f t="shared" si="3"/>
        <v>0</v>
      </c>
      <c r="G37" s="203">
        <v>0</v>
      </c>
      <c r="H37" s="204">
        <f t="shared" si="4"/>
        <v>0</v>
      </c>
      <c r="I37" s="204">
        <f t="shared" si="0"/>
        <v>0</v>
      </c>
      <c r="J37" s="204"/>
      <c r="K37" s="204">
        <f t="shared" si="7"/>
        <v>0</v>
      </c>
      <c r="L37" s="204"/>
      <c r="M37" s="204"/>
      <c r="N37" s="204"/>
      <c r="O37" s="204">
        <v>0</v>
      </c>
      <c r="P37" s="204">
        <v>0</v>
      </c>
      <c r="Q37" s="204" t="e">
        <f>+#REF!</f>
        <v>#REF!</v>
      </c>
    </row>
    <row r="38" spans="1:17" hidden="1" x14ac:dyDescent="0.25">
      <c r="A38" s="198"/>
      <c r="B38" s="198"/>
      <c r="C38" s="199"/>
      <c r="D38" s="200"/>
      <c r="E38" s="201">
        <f t="shared" si="1"/>
        <v>0</v>
      </c>
      <c r="F38" s="202">
        <f t="shared" si="3"/>
        <v>0</v>
      </c>
      <c r="G38" s="203">
        <v>0</v>
      </c>
      <c r="H38" s="204">
        <f t="shared" si="4"/>
        <v>0</v>
      </c>
      <c r="I38" s="204">
        <f t="shared" si="0"/>
        <v>0</v>
      </c>
      <c r="J38" s="204"/>
      <c r="K38" s="204">
        <f t="shared" si="7"/>
        <v>0</v>
      </c>
      <c r="L38" s="204"/>
      <c r="M38" s="204"/>
      <c r="N38" s="204"/>
      <c r="O38" s="205">
        <v>0</v>
      </c>
      <c r="P38" s="204">
        <v>0</v>
      </c>
      <c r="Q38" s="204" t="e">
        <f>+#REF!</f>
        <v>#REF!</v>
      </c>
    </row>
    <row r="39" spans="1:17" hidden="1" x14ac:dyDescent="0.25">
      <c r="A39" s="198"/>
      <c r="B39" s="198"/>
      <c r="C39" s="199"/>
      <c r="D39" s="200"/>
      <c r="E39" s="201">
        <f t="shared" si="1"/>
        <v>0</v>
      </c>
      <c r="F39" s="202">
        <f t="shared" si="3"/>
        <v>0</v>
      </c>
      <c r="G39" s="203">
        <v>0</v>
      </c>
      <c r="H39" s="204">
        <f t="shared" si="4"/>
        <v>0</v>
      </c>
      <c r="I39" s="204">
        <f t="shared" si="0"/>
        <v>0</v>
      </c>
      <c r="J39" s="204"/>
      <c r="K39" s="204">
        <f t="shared" si="7"/>
        <v>0</v>
      </c>
      <c r="L39" s="204"/>
      <c r="M39" s="204"/>
      <c r="N39" s="204"/>
      <c r="O39" s="204">
        <v>0</v>
      </c>
      <c r="P39" s="204">
        <v>0</v>
      </c>
      <c r="Q39" s="204" t="e">
        <f>+#REF!</f>
        <v>#REF!</v>
      </c>
    </row>
    <row r="40" spans="1:17" s="173" customFormat="1" hidden="1" x14ac:dyDescent="0.25">
      <c r="A40" s="198"/>
      <c r="B40" s="198"/>
      <c r="C40" s="199"/>
      <c r="D40" s="200"/>
      <c r="E40" s="201">
        <f t="shared" si="1"/>
        <v>0</v>
      </c>
      <c r="F40" s="202">
        <f t="shared" si="3"/>
        <v>0</v>
      </c>
      <c r="G40" s="203">
        <v>0</v>
      </c>
      <c r="H40" s="204">
        <f t="shared" si="4"/>
        <v>0</v>
      </c>
      <c r="I40" s="204">
        <f t="shared" si="0"/>
        <v>0</v>
      </c>
      <c r="J40" s="204"/>
      <c r="K40" s="204">
        <f t="shared" si="7"/>
        <v>0</v>
      </c>
      <c r="L40" s="204"/>
      <c r="M40" s="204"/>
      <c r="N40" s="204"/>
      <c r="O40" s="205">
        <v>0</v>
      </c>
      <c r="P40" s="204">
        <v>0</v>
      </c>
      <c r="Q40" s="204" t="e">
        <f>+#REF!</f>
        <v>#REF!</v>
      </c>
    </row>
    <row r="41" spans="1:17" hidden="1" x14ac:dyDescent="0.25">
      <c r="A41" s="198"/>
      <c r="B41" s="198"/>
      <c r="C41" s="199"/>
      <c r="D41" s="200"/>
      <c r="E41" s="201">
        <f t="shared" si="1"/>
        <v>0</v>
      </c>
      <c r="F41" s="202">
        <f t="shared" si="3"/>
        <v>0</v>
      </c>
      <c r="G41" s="203">
        <v>0</v>
      </c>
      <c r="H41" s="204">
        <f t="shared" si="4"/>
        <v>0</v>
      </c>
      <c r="I41" s="204">
        <f t="shared" si="0"/>
        <v>0</v>
      </c>
      <c r="J41" s="204"/>
      <c r="K41" s="204">
        <f t="shared" si="7"/>
        <v>0</v>
      </c>
      <c r="L41" s="204"/>
      <c r="M41" s="204"/>
      <c r="N41" s="204"/>
      <c r="O41" s="204">
        <v>0</v>
      </c>
      <c r="P41" s="204">
        <v>0</v>
      </c>
      <c r="Q41" s="204" t="e">
        <f>+#REF!</f>
        <v>#REF!</v>
      </c>
    </row>
    <row r="42" spans="1:17" s="173" customFormat="1" hidden="1" x14ac:dyDescent="0.25">
      <c r="A42" s="198"/>
      <c r="B42" s="198"/>
      <c r="C42" s="199"/>
      <c r="D42" s="200"/>
      <c r="E42" s="201">
        <f t="shared" si="1"/>
        <v>0</v>
      </c>
      <c r="F42" s="202">
        <f t="shared" si="3"/>
        <v>0</v>
      </c>
      <c r="G42" s="203">
        <v>0</v>
      </c>
      <c r="H42" s="204">
        <f t="shared" si="4"/>
        <v>0</v>
      </c>
      <c r="I42" s="204">
        <f t="shared" si="0"/>
        <v>0</v>
      </c>
      <c r="J42" s="204"/>
      <c r="K42" s="204">
        <f t="shared" si="7"/>
        <v>0</v>
      </c>
      <c r="L42" s="204"/>
      <c r="M42" s="204"/>
      <c r="N42" s="204"/>
      <c r="O42" s="205">
        <v>0</v>
      </c>
      <c r="P42" s="204">
        <v>0</v>
      </c>
      <c r="Q42" s="204" t="e">
        <f>+#REF!</f>
        <v>#REF!</v>
      </c>
    </row>
    <row r="43" spans="1:17" s="173" customFormat="1" hidden="1" x14ac:dyDescent="0.25">
      <c r="A43" s="198"/>
      <c r="B43" s="198"/>
      <c r="C43" s="199"/>
      <c r="D43" s="206"/>
      <c r="E43" s="201">
        <f>+G43/30</f>
        <v>0</v>
      </c>
      <c r="F43" s="202">
        <f>+E43*1.0452</f>
        <v>0</v>
      </c>
      <c r="G43" s="203">
        <v>0</v>
      </c>
      <c r="H43" s="204">
        <f>+G43*12</f>
        <v>0</v>
      </c>
      <c r="I43" s="204">
        <f>(G43/30*10)</f>
        <v>0</v>
      </c>
      <c r="J43" s="204"/>
      <c r="K43" s="204">
        <f t="shared" si="7"/>
        <v>0</v>
      </c>
      <c r="L43" s="204"/>
      <c r="M43" s="204"/>
      <c r="N43" s="204"/>
      <c r="O43" s="204">
        <v>0</v>
      </c>
      <c r="P43" s="204">
        <v>0</v>
      </c>
      <c r="Q43" s="204" t="e">
        <f>+#REF!</f>
        <v>#REF!</v>
      </c>
    </row>
    <row r="44" spans="1:17" s="173" customFormat="1" hidden="1" x14ac:dyDescent="0.25">
      <c r="A44" s="198"/>
      <c r="B44" s="198"/>
      <c r="C44" s="199"/>
      <c r="D44" s="206"/>
      <c r="E44" s="201">
        <f>+G44/30</f>
        <v>0</v>
      </c>
      <c r="F44" s="202">
        <f>+E44*1.0452</f>
        <v>0</v>
      </c>
      <c r="G44" s="203">
        <v>0</v>
      </c>
      <c r="H44" s="204">
        <f>+G44*12</f>
        <v>0</v>
      </c>
      <c r="I44" s="204">
        <f>(G44/30*10)</f>
        <v>0</v>
      </c>
      <c r="J44" s="204"/>
      <c r="K44" s="204">
        <f t="shared" si="7"/>
        <v>0</v>
      </c>
      <c r="L44" s="204"/>
      <c r="M44" s="204"/>
      <c r="N44" s="204"/>
      <c r="O44" s="205">
        <v>0</v>
      </c>
      <c r="P44" s="204">
        <v>0</v>
      </c>
      <c r="Q44" s="204" t="e">
        <f>+#REF!</f>
        <v>#REF!</v>
      </c>
    </row>
    <row r="45" spans="1:17" s="173" customFormat="1" hidden="1" x14ac:dyDescent="0.25">
      <c r="A45" s="198"/>
      <c r="B45" s="198"/>
      <c r="C45" s="199"/>
      <c r="D45" s="206"/>
      <c r="E45" s="201">
        <f>+G45/30</f>
        <v>0</v>
      </c>
      <c r="F45" s="202">
        <f>+E45*1.0452</f>
        <v>0</v>
      </c>
      <c r="G45" s="203">
        <v>0</v>
      </c>
      <c r="H45" s="204">
        <f>+G45*12</f>
        <v>0</v>
      </c>
      <c r="I45" s="204">
        <f>(G45/30*10)</f>
        <v>0</v>
      </c>
      <c r="J45" s="204"/>
      <c r="K45" s="204">
        <f t="shared" si="7"/>
        <v>0</v>
      </c>
      <c r="L45" s="204"/>
      <c r="M45" s="204"/>
      <c r="N45" s="204"/>
      <c r="O45" s="204">
        <v>0</v>
      </c>
      <c r="P45" s="204">
        <v>0</v>
      </c>
      <c r="Q45" s="204" t="e">
        <f>+#REF!</f>
        <v>#REF!</v>
      </c>
    </row>
    <row r="46" spans="1:17" s="173" customFormat="1" hidden="1" x14ac:dyDescent="0.25">
      <c r="A46" s="198"/>
      <c r="B46" s="198"/>
      <c r="C46" s="199"/>
      <c r="D46" s="206"/>
      <c r="E46" s="201">
        <f>+G46/30</f>
        <v>0</v>
      </c>
      <c r="F46" s="202">
        <f>+E46*1.0452</f>
        <v>0</v>
      </c>
      <c r="G46" s="203">
        <v>0</v>
      </c>
      <c r="H46" s="204">
        <f>+G46*12</f>
        <v>0</v>
      </c>
      <c r="I46" s="204">
        <f>(G46/30*10)</f>
        <v>0</v>
      </c>
      <c r="J46" s="204"/>
      <c r="K46" s="204">
        <f t="shared" si="7"/>
        <v>0</v>
      </c>
      <c r="L46" s="204"/>
      <c r="M46" s="204"/>
      <c r="N46" s="204"/>
      <c r="O46" s="205">
        <v>0</v>
      </c>
      <c r="P46" s="204">
        <v>0</v>
      </c>
      <c r="Q46" s="204" t="e">
        <f>+#REF!</f>
        <v>#REF!</v>
      </c>
    </row>
    <row r="47" spans="1:17" s="173" customFormat="1" hidden="1" x14ac:dyDescent="0.25">
      <c r="A47" s="198"/>
      <c r="B47" s="198"/>
      <c r="C47" s="199"/>
      <c r="D47" s="200"/>
      <c r="E47" s="201">
        <f>+G47/30</f>
        <v>0</v>
      </c>
      <c r="F47" s="202">
        <f>+E47*1.0452</f>
        <v>0</v>
      </c>
      <c r="G47" s="203">
        <v>0</v>
      </c>
      <c r="H47" s="204">
        <f>+G47*12</f>
        <v>0</v>
      </c>
      <c r="I47" s="204">
        <f>(G47/30*10)</f>
        <v>0</v>
      </c>
      <c r="J47" s="204"/>
      <c r="K47" s="204">
        <f t="shared" si="7"/>
        <v>0</v>
      </c>
      <c r="L47" s="204"/>
      <c r="M47" s="204"/>
      <c r="N47" s="204"/>
      <c r="O47" s="204">
        <v>0</v>
      </c>
      <c r="P47" s="204">
        <v>0</v>
      </c>
      <c r="Q47" s="204" t="e">
        <f>+#REF!</f>
        <v>#REF!</v>
      </c>
    </row>
    <row r="48" spans="1:17" hidden="1" x14ac:dyDescent="0.25">
      <c r="A48" s="207"/>
      <c r="B48" s="207"/>
      <c r="C48" s="199"/>
      <c r="D48" s="200"/>
      <c r="E48" s="201">
        <f t="shared" si="1"/>
        <v>0</v>
      </c>
      <c r="F48" s="202">
        <f t="shared" si="3"/>
        <v>0</v>
      </c>
      <c r="G48" s="203">
        <v>0</v>
      </c>
      <c r="H48" s="204">
        <f t="shared" ref="H48:H111" si="8">+G48*12</f>
        <v>0</v>
      </c>
      <c r="I48" s="204">
        <f t="shared" ref="I48:I111" si="9">(G48/30*10)</f>
        <v>0</v>
      </c>
      <c r="J48" s="204"/>
      <c r="K48" s="204">
        <f t="shared" si="7"/>
        <v>0</v>
      </c>
      <c r="L48" s="204"/>
      <c r="M48" s="204"/>
      <c r="N48" s="204"/>
      <c r="O48" s="205">
        <v>0</v>
      </c>
      <c r="P48" s="204">
        <v>0</v>
      </c>
      <c r="Q48" s="204" t="e">
        <f>+#REF!</f>
        <v>#REF!</v>
      </c>
    </row>
    <row r="49" spans="1:17" s="173" customFormat="1" hidden="1" x14ac:dyDescent="0.25">
      <c r="A49" s="207"/>
      <c r="B49" s="207"/>
      <c r="C49" s="199"/>
      <c r="D49" s="200"/>
      <c r="E49" s="201">
        <f t="shared" si="1"/>
        <v>0</v>
      </c>
      <c r="F49" s="202">
        <f t="shared" si="3"/>
        <v>0</v>
      </c>
      <c r="G49" s="203">
        <v>0</v>
      </c>
      <c r="H49" s="204">
        <f t="shared" si="8"/>
        <v>0</v>
      </c>
      <c r="I49" s="204">
        <f t="shared" si="9"/>
        <v>0</v>
      </c>
      <c r="J49" s="204"/>
      <c r="K49" s="204">
        <f t="shared" si="7"/>
        <v>0</v>
      </c>
      <c r="L49" s="204"/>
      <c r="M49" s="204"/>
      <c r="N49" s="204"/>
      <c r="O49" s="204">
        <v>0</v>
      </c>
      <c r="P49" s="204">
        <v>0</v>
      </c>
      <c r="Q49" s="204" t="e">
        <f>+#REF!</f>
        <v>#REF!</v>
      </c>
    </row>
    <row r="50" spans="1:17" hidden="1" x14ac:dyDescent="0.25">
      <c r="A50" s="207"/>
      <c r="B50" s="207"/>
      <c r="C50" s="199"/>
      <c r="D50" s="200"/>
      <c r="E50" s="201">
        <f t="shared" si="1"/>
        <v>0</v>
      </c>
      <c r="F50" s="202">
        <f t="shared" si="3"/>
        <v>0</v>
      </c>
      <c r="G50" s="203">
        <v>0</v>
      </c>
      <c r="H50" s="204">
        <f t="shared" si="8"/>
        <v>0</v>
      </c>
      <c r="I50" s="204">
        <f t="shared" si="9"/>
        <v>0</v>
      </c>
      <c r="J50" s="204"/>
      <c r="K50" s="204">
        <f t="shared" si="7"/>
        <v>0</v>
      </c>
      <c r="L50" s="204"/>
      <c r="M50" s="204"/>
      <c r="N50" s="204"/>
      <c r="O50" s="205">
        <v>0</v>
      </c>
      <c r="P50" s="204">
        <v>0</v>
      </c>
      <c r="Q50" s="204" t="e">
        <f>+#REF!</f>
        <v>#REF!</v>
      </c>
    </row>
    <row r="51" spans="1:17" hidden="1" x14ac:dyDescent="0.25">
      <c r="A51" s="207"/>
      <c r="B51" s="207"/>
      <c r="C51" s="199"/>
      <c r="D51" s="200"/>
      <c r="E51" s="201">
        <f t="shared" si="1"/>
        <v>0</v>
      </c>
      <c r="F51" s="202">
        <f t="shared" si="3"/>
        <v>0</v>
      </c>
      <c r="G51" s="203">
        <v>0</v>
      </c>
      <c r="H51" s="204">
        <f t="shared" si="8"/>
        <v>0</v>
      </c>
      <c r="I51" s="204">
        <f t="shared" si="9"/>
        <v>0</v>
      </c>
      <c r="J51" s="204"/>
      <c r="K51" s="204">
        <f t="shared" si="7"/>
        <v>0</v>
      </c>
      <c r="L51" s="204"/>
      <c r="M51" s="204"/>
      <c r="N51" s="204"/>
      <c r="O51" s="204">
        <v>0</v>
      </c>
      <c r="P51" s="204">
        <v>0</v>
      </c>
      <c r="Q51" s="204" t="e">
        <f>+#REF!</f>
        <v>#REF!</v>
      </c>
    </row>
    <row r="52" spans="1:17" hidden="1" x14ac:dyDescent="0.25">
      <c r="A52" s="207"/>
      <c r="B52" s="207"/>
      <c r="C52" s="199"/>
      <c r="D52" s="200"/>
      <c r="E52" s="201">
        <f t="shared" si="1"/>
        <v>0</v>
      </c>
      <c r="F52" s="202">
        <f t="shared" si="3"/>
        <v>0</v>
      </c>
      <c r="G52" s="203">
        <v>0</v>
      </c>
      <c r="H52" s="204">
        <f t="shared" si="8"/>
        <v>0</v>
      </c>
      <c r="I52" s="204">
        <f t="shared" si="9"/>
        <v>0</v>
      </c>
      <c r="J52" s="204"/>
      <c r="K52" s="204">
        <f t="shared" si="7"/>
        <v>0</v>
      </c>
      <c r="L52" s="204"/>
      <c r="M52" s="204"/>
      <c r="N52" s="204"/>
      <c r="O52" s="205">
        <v>0</v>
      </c>
      <c r="P52" s="204">
        <v>0</v>
      </c>
      <c r="Q52" s="204" t="e">
        <f>+#REF!</f>
        <v>#REF!</v>
      </c>
    </row>
    <row r="53" spans="1:17" hidden="1" x14ac:dyDescent="0.25">
      <c r="A53" s="207"/>
      <c r="B53" s="207"/>
      <c r="C53" s="199"/>
      <c r="D53" s="200"/>
      <c r="E53" s="201">
        <f t="shared" si="1"/>
        <v>0</v>
      </c>
      <c r="F53" s="202">
        <f t="shared" si="3"/>
        <v>0</v>
      </c>
      <c r="G53" s="203">
        <v>0</v>
      </c>
      <c r="H53" s="204">
        <f t="shared" si="8"/>
        <v>0</v>
      </c>
      <c r="I53" s="204">
        <f t="shared" si="9"/>
        <v>0</v>
      </c>
      <c r="J53" s="204"/>
      <c r="K53" s="204">
        <f t="shared" si="7"/>
        <v>0</v>
      </c>
      <c r="L53" s="204"/>
      <c r="M53" s="204"/>
      <c r="N53" s="204"/>
      <c r="O53" s="204">
        <v>0</v>
      </c>
      <c r="P53" s="204">
        <v>0</v>
      </c>
      <c r="Q53" s="204" t="e">
        <f>+#REF!</f>
        <v>#REF!</v>
      </c>
    </row>
    <row r="54" spans="1:17" hidden="1" x14ac:dyDescent="0.25">
      <c r="A54" s="207"/>
      <c r="B54" s="207"/>
      <c r="C54" s="199"/>
      <c r="D54" s="200"/>
      <c r="E54" s="201">
        <f t="shared" si="1"/>
        <v>0</v>
      </c>
      <c r="F54" s="202">
        <f t="shared" si="3"/>
        <v>0</v>
      </c>
      <c r="G54" s="203">
        <v>0</v>
      </c>
      <c r="H54" s="204">
        <f t="shared" si="8"/>
        <v>0</v>
      </c>
      <c r="I54" s="204">
        <f t="shared" si="9"/>
        <v>0</v>
      </c>
      <c r="J54" s="204"/>
      <c r="K54" s="204">
        <f t="shared" si="7"/>
        <v>0</v>
      </c>
      <c r="L54" s="204"/>
      <c r="M54" s="204"/>
      <c r="N54" s="204"/>
      <c r="O54" s="205">
        <v>0</v>
      </c>
      <c r="P54" s="204">
        <v>0</v>
      </c>
      <c r="Q54" s="204" t="e">
        <f>+#REF!</f>
        <v>#REF!</v>
      </c>
    </row>
    <row r="55" spans="1:17" hidden="1" x14ac:dyDescent="0.25">
      <c r="A55" s="207"/>
      <c r="B55" s="207"/>
      <c r="C55" s="199"/>
      <c r="D55" s="200"/>
      <c r="E55" s="201">
        <f t="shared" si="1"/>
        <v>0</v>
      </c>
      <c r="F55" s="202">
        <f t="shared" si="3"/>
        <v>0</v>
      </c>
      <c r="G55" s="203">
        <v>0</v>
      </c>
      <c r="H55" s="204">
        <f t="shared" si="8"/>
        <v>0</v>
      </c>
      <c r="I55" s="204">
        <f t="shared" si="9"/>
        <v>0</v>
      </c>
      <c r="J55" s="204"/>
      <c r="K55" s="204">
        <f t="shared" si="7"/>
        <v>0</v>
      </c>
      <c r="L55" s="204"/>
      <c r="M55" s="204"/>
      <c r="N55" s="204"/>
      <c r="O55" s="204">
        <v>0</v>
      </c>
      <c r="P55" s="204">
        <v>0</v>
      </c>
      <c r="Q55" s="204" t="e">
        <f>+#REF!</f>
        <v>#REF!</v>
      </c>
    </row>
    <row r="56" spans="1:17" hidden="1" x14ac:dyDescent="0.25">
      <c r="A56" s="207"/>
      <c r="B56" s="207"/>
      <c r="C56" s="199"/>
      <c r="D56" s="200"/>
      <c r="E56" s="201">
        <f t="shared" si="1"/>
        <v>0</v>
      </c>
      <c r="F56" s="202">
        <f t="shared" si="3"/>
        <v>0</v>
      </c>
      <c r="G56" s="203">
        <v>0</v>
      </c>
      <c r="H56" s="204">
        <f t="shared" si="8"/>
        <v>0</v>
      </c>
      <c r="I56" s="204">
        <f t="shared" si="9"/>
        <v>0</v>
      </c>
      <c r="J56" s="204"/>
      <c r="K56" s="204">
        <f t="shared" si="7"/>
        <v>0</v>
      </c>
      <c r="L56" s="204"/>
      <c r="M56" s="204"/>
      <c r="N56" s="204"/>
      <c r="O56" s="205">
        <v>0</v>
      </c>
      <c r="P56" s="204">
        <v>0</v>
      </c>
      <c r="Q56" s="204" t="e">
        <f>+#REF!</f>
        <v>#REF!</v>
      </c>
    </row>
    <row r="57" spans="1:17" hidden="1" x14ac:dyDescent="0.25">
      <c r="A57" s="207"/>
      <c r="B57" s="207"/>
      <c r="C57" s="199"/>
      <c r="D57" s="200"/>
      <c r="E57" s="201">
        <f t="shared" si="1"/>
        <v>0</v>
      </c>
      <c r="F57" s="202">
        <f t="shared" si="3"/>
        <v>0</v>
      </c>
      <c r="G57" s="203">
        <v>0</v>
      </c>
      <c r="H57" s="204">
        <f t="shared" si="8"/>
        <v>0</v>
      </c>
      <c r="I57" s="204">
        <f t="shared" si="9"/>
        <v>0</v>
      </c>
      <c r="J57" s="204"/>
      <c r="K57" s="204">
        <f t="shared" si="7"/>
        <v>0</v>
      </c>
      <c r="L57" s="204"/>
      <c r="M57" s="204"/>
      <c r="N57" s="204"/>
      <c r="O57" s="204">
        <v>0</v>
      </c>
      <c r="P57" s="204">
        <v>0</v>
      </c>
      <c r="Q57" s="204" t="e">
        <f>+#REF!</f>
        <v>#REF!</v>
      </c>
    </row>
    <row r="58" spans="1:17" hidden="1" x14ac:dyDescent="0.25">
      <c r="A58" s="207"/>
      <c r="B58" s="207"/>
      <c r="C58" s="199"/>
      <c r="D58" s="200"/>
      <c r="E58" s="201">
        <f t="shared" si="1"/>
        <v>0</v>
      </c>
      <c r="F58" s="202">
        <f t="shared" si="3"/>
        <v>0</v>
      </c>
      <c r="G58" s="203">
        <v>0</v>
      </c>
      <c r="H58" s="204">
        <f t="shared" si="8"/>
        <v>0</v>
      </c>
      <c r="I58" s="204">
        <f t="shared" si="9"/>
        <v>0</v>
      </c>
      <c r="J58" s="204"/>
      <c r="K58" s="204">
        <f t="shared" si="7"/>
        <v>0</v>
      </c>
      <c r="L58" s="204"/>
      <c r="M58" s="204"/>
      <c r="N58" s="204"/>
      <c r="O58" s="205">
        <v>0</v>
      </c>
      <c r="P58" s="204">
        <v>0</v>
      </c>
      <c r="Q58" s="204" t="e">
        <f>+#REF!</f>
        <v>#REF!</v>
      </c>
    </row>
    <row r="59" spans="1:17" hidden="1" x14ac:dyDescent="0.25">
      <c r="A59" s="207"/>
      <c r="B59" s="207"/>
      <c r="C59" s="199"/>
      <c r="D59" s="200"/>
      <c r="E59" s="201">
        <f t="shared" si="1"/>
        <v>0</v>
      </c>
      <c r="F59" s="202">
        <f t="shared" si="3"/>
        <v>0</v>
      </c>
      <c r="G59" s="203">
        <v>0</v>
      </c>
      <c r="H59" s="204">
        <f t="shared" si="8"/>
        <v>0</v>
      </c>
      <c r="I59" s="204">
        <f t="shared" si="9"/>
        <v>0</v>
      </c>
      <c r="J59" s="204"/>
      <c r="K59" s="204">
        <f t="shared" si="7"/>
        <v>0</v>
      </c>
      <c r="L59" s="204"/>
      <c r="M59" s="204"/>
      <c r="N59" s="204"/>
      <c r="O59" s="204">
        <v>0</v>
      </c>
      <c r="P59" s="204">
        <v>0</v>
      </c>
      <c r="Q59" s="204" t="e">
        <f>+#REF!</f>
        <v>#REF!</v>
      </c>
    </row>
    <row r="60" spans="1:17" hidden="1" x14ac:dyDescent="0.25">
      <c r="A60" s="207"/>
      <c r="B60" s="207"/>
      <c r="C60" s="199"/>
      <c r="D60" s="200"/>
      <c r="E60" s="201">
        <f t="shared" si="1"/>
        <v>0</v>
      </c>
      <c r="F60" s="202">
        <f t="shared" si="3"/>
        <v>0</v>
      </c>
      <c r="G60" s="203">
        <v>0</v>
      </c>
      <c r="H60" s="204">
        <f t="shared" si="8"/>
        <v>0</v>
      </c>
      <c r="I60" s="204">
        <f t="shared" si="9"/>
        <v>0</v>
      </c>
      <c r="J60" s="204"/>
      <c r="K60" s="204">
        <f t="shared" si="7"/>
        <v>0</v>
      </c>
      <c r="L60" s="204"/>
      <c r="M60" s="204"/>
      <c r="N60" s="204"/>
      <c r="O60" s="205">
        <v>0</v>
      </c>
      <c r="P60" s="204">
        <v>0</v>
      </c>
      <c r="Q60" s="204" t="e">
        <f>+#REF!</f>
        <v>#REF!</v>
      </c>
    </row>
    <row r="61" spans="1:17" hidden="1" x14ac:dyDescent="0.25">
      <c r="A61" s="207"/>
      <c r="B61" s="207"/>
      <c r="C61" s="199"/>
      <c r="D61" s="200"/>
      <c r="E61" s="201">
        <f t="shared" si="1"/>
        <v>0</v>
      </c>
      <c r="F61" s="202">
        <f t="shared" si="3"/>
        <v>0</v>
      </c>
      <c r="G61" s="203">
        <v>0</v>
      </c>
      <c r="H61" s="204">
        <f t="shared" si="8"/>
        <v>0</v>
      </c>
      <c r="I61" s="204">
        <f t="shared" si="9"/>
        <v>0</v>
      </c>
      <c r="J61" s="204"/>
      <c r="K61" s="204">
        <f t="shared" si="7"/>
        <v>0</v>
      </c>
      <c r="L61" s="204"/>
      <c r="M61" s="204"/>
      <c r="N61" s="204"/>
      <c r="O61" s="204">
        <v>0</v>
      </c>
      <c r="P61" s="204">
        <v>0</v>
      </c>
      <c r="Q61" s="204" t="e">
        <f>+#REF!</f>
        <v>#REF!</v>
      </c>
    </row>
    <row r="62" spans="1:17" hidden="1" x14ac:dyDescent="0.25">
      <c r="A62" s="207"/>
      <c r="B62" s="207"/>
      <c r="C62" s="199"/>
      <c r="D62" s="200"/>
      <c r="E62" s="201">
        <f t="shared" si="1"/>
        <v>0</v>
      </c>
      <c r="F62" s="202">
        <f t="shared" si="3"/>
        <v>0</v>
      </c>
      <c r="G62" s="203">
        <v>0</v>
      </c>
      <c r="H62" s="204">
        <f t="shared" si="8"/>
        <v>0</v>
      </c>
      <c r="I62" s="204">
        <f t="shared" si="9"/>
        <v>0</v>
      </c>
      <c r="J62" s="204"/>
      <c r="K62" s="204">
        <f t="shared" si="7"/>
        <v>0</v>
      </c>
      <c r="L62" s="204"/>
      <c r="M62" s="204"/>
      <c r="N62" s="204"/>
      <c r="O62" s="205">
        <v>0</v>
      </c>
      <c r="P62" s="204">
        <v>0</v>
      </c>
      <c r="Q62" s="204" t="e">
        <f>+#REF!</f>
        <v>#REF!</v>
      </c>
    </row>
    <row r="63" spans="1:17" hidden="1" x14ac:dyDescent="0.25">
      <c r="A63" s="207"/>
      <c r="B63" s="207"/>
      <c r="C63" s="199"/>
      <c r="D63" s="200"/>
      <c r="E63" s="201">
        <f t="shared" si="1"/>
        <v>0</v>
      </c>
      <c r="F63" s="202">
        <f t="shared" si="3"/>
        <v>0</v>
      </c>
      <c r="G63" s="203">
        <v>0</v>
      </c>
      <c r="H63" s="204">
        <f t="shared" si="8"/>
        <v>0</v>
      </c>
      <c r="I63" s="204">
        <f t="shared" si="9"/>
        <v>0</v>
      </c>
      <c r="J63" s="204"/>
      <c r="K63" s="204">
        <f t="shared" si="7"/>
        <v>0</v>
      </c>
      <c r="L63" s="204"/>
      <c r="M63" s="204"/>
      <c r="N63" s="204"/>
      <c r="O63" s="204">
        <v>0</v>
      </c>
      <c r="P63" s="204">
        <v>0</v>
      </c>
      <c r="Q63" s="204" t="e">
        <f>+#REF!</f>
        <v>#REF!</v>
      </c>
    </row>
    <row r="64" spans="1:17" hidden="1" x14ac:dyDescent="0.25">
      <c r="A64" s="207"/>
      <c r="B64" s="207"/>
      <c r="C64" s="199"/>
      <c r="D64" s="200"/>
      <c r="E64" s="201">
        <f t="shared" si="1"/>
        <v>0</v>
      </c>
      <c r="F64" s="202">
        <f t="shared" si="3"/>
        <v>0</v>
      </c>
      <c r="G64" s="203">
        <v>0</v>
      </c>
      <c r="H64" s="204">
        <f t="shared" si="8"/>
        <v>0</v>
      </c>
      <c r="I64" s="204">
        <f t="shared" si="9"/>
        <v>0</v>
      </c>
      <c r="J64" s="204"/>
      <c r="K64" s="204">
        <f t="shared" si="7"/>
        <v>0</v>
      </c>
      <c r="L64" s="204"/>
      <c r="M64" s="204"/>
      <c r="N64" s="204"/>
      <c r="O64" s="205">
        <v>0</v>
      </c>
      <c r="P64" s="204">
        <v>0</v>
      </c>
      <c r="Q64" s="204" t="e">
        <f>+#REF!</f>
        <v>#REF!</v>
      </c>
    </row>
    <row r="65" spans="1:16134" hidden="1" x14ac:dyDescent="0.25">
      <c r="A65" s="207"/>
      <c r="B65" s="207"/>
      <c r="C65" s="199"/>
      <c r="D65" s="200"/>
      <c r="E65" s="201">
        <f t="shared" si="1"/>
        <v>0</v>
      </c>
      <c r="F65" s="202">
        <f t="shared" si="3"/>
        <v>0</v>
      </c>
      <c r="G65" s="203">
        <v>0</v>
      </c>
      <c r="H65" s="204">
        <f t="shared" si="8"/>
        <v>0</v>
      </c>
      <c r="I65" s="204">
        <f t="shared" si="9"/>
        <v>0</v>
      </c>
      <c r="J65" s="204"/>
      <c r="K65" s="204">
        <f t="shared" si="7"/>
        <v>0</v>
      </c>
      <c r="L65" s="204"/>
      <c r="M65" s="204"/>
      <c r="N65" s="204"/>
      <c r="O65" s="204">
        <v>0</v>
      </c>
      <c r="P65" s="204">
        <v>0</v>
      </c>
      <c r="Q65" s="204" t="e">
        <f>+#REF!</f>
        <v>#REF!</v>
      </c>
    </row>
    <row r="66" spans="1:16134" hidden="1" x14ac:dyDescent="0.25">
      <c r="A66" s="208"/>
      <c r="B66" s="208"/>
      <c r="C66" s="199"/>
      <c r="D66" s="200"/>
      <c r="E66" s="201">
        <f t="shared" si="1"/>
        <v>0</v>
      </c>
      <c r="F66" s="202">
        <f t="shared" si="3"/>
        <v>0</v>
      </c>
      <c r="G66" s="203">
        <v>0</v>
      </c>
      <c r="H66" s="204">
        <f t="shared" ref="H66:H76" si="10">+G66*7</f>
        <v>0</v>
      </c>
      <c r="I66" s="204">
        <f>(G66/30*6)</f>
        <v>0</v>
      </c>
      <c r="J66" s="204"/>
      <c r="K66" s="204">
        <f t="shared" ref="K66:K76" si="11">(G66/30*29)</f>
        <v>0</v>
      </c>
      <c r="L66" s="204"/>
      <c r="M66" s="204"/>
      <c r="N66" s="204"/>
      <c r="O66" s="205">
        <v>0</v>
      </c>
      <c r="P66" s="204">
        <v>0</v>
      </c>
      <c r="Q66" s="204" t="e">
        <f>+#REF!</f>
        <v>#REF!</v>
      </c>
    </row>
    <row r="67" spans="1:16134" hidden="1" x14ac:dyDescent="0.25">
      <c r="A67" s="208"/>
      <c r="B67" s="208"/>
      <c r="C67" s="199"/>
      <c r="D67" s="200"/>
      <c r="E67" s="201">
        <f t="shared" si="1"/>
        <v>0</v>
      </c>
      <c r="F67" s="202">
        <f t="shared" si="3"/>
        <v>0</v>
      </c>
      <c r="G67" s="203">
        <v>0</v>
      </c>
      <c r="H67" s="204">
        <f t="shared" si="10"/>
        <v>0</v>
      </c>
      <c r="I67" s="204">
        <f t="shared" ref="I67:I76" si="12">(G67/30*6)</f>
        <v>0</v>
      </c>
      <c r="J67" s="204"/>
      <c r="K67" s="204">
        <f t="shared" si="11"/>
        <v>0</v>
      </c>
      <c r="L67" s="204"/>
      <c r="M67" s="204"/>
      <c r="N67" s="204"/>
      <c r="O67" s="204">
        <v>0</v>
      </c>
      <c r="P67" s="204">
        <v>0</v>
      </c>
      <c r="Q67" s="204" t="e">
        <f>+#REF!</f>
        <v>#REF!</v>
      </c>
    </row>
    <row r="68" spans="1:16134" hidden="1" x14ac:dyDescent="0.25">
      <c r="A68" s="208"/>
      <c r="B68" s="208"/>
      <c r="C68" s="199"/>
      <c r="D68" s="200"/>
      <c r="E68" s="201">
        <f t="shared" si="1"/>
        <v>0</v>
      </c>
      <c r="F68" s="202">
        <f t="shared" si="3"/>
        <v>0</v>
      </c>
      <c r="G68" s="203">
        <v>0</v>
      </c>
      <c r="H68" s="204">
        <f t="shared" si="10"/>
        <v>0</v>
      </c>
      <c r="I68" s="204">
        <f t="shared" si="12"/>
        <v>0</v>
      </c>
      <c r="J68" s="204"/>
      <c r="K68" s="204">
        <f t="shared" si="11"/>
        <v>0</v>
      </c>
      <c r="L68" s="204"/>
      <c r="M68" s="204"/>
      <c r="N68" s="204"/>
      <c r="O68" s="205">
        <v>0</v>
      </c>
      <c r="P68" s="204">
        <v>0</v>
      </c>
      <c r="Q68" s="204" t="e">
        <f>+#REF!</f>
        <v>#REF!</v>
      </c>
    </row>
    <row r="69" spans="1:16134" hidden="1" x14ac:dyDescent="0.25">
      <c r="A69" s="208"/>
      <c r="B69" s="208"/>
      <c r="C69" s="199"/>
      <c r="D69" s="200"/>
      <c r="E69" s="201">
        <f t="shared" si="1"/>
        <v>0</v>
      </c>
      <c r="F69" s="202">
        <f t="shared" si="3"/>
        <v>0</v>
      </c>
      <c r="G69" s="203">
        <v>0</v>
      </c>
      <c r="H69" s="204">
        <f t="shared" si="10"/>
        <v>0</v>
      </c>
      <c r="I69" s="204">
        <f t="shared" si="12"/>
        <v>0</v>
      </c>
      <c r="J69" s="204"/>
      <c r="K69" s="204">
        <f t="shared" si="11"/>
        <v>0</v>
      </c>
      <c r="L69" s="204"/>
      <c r="M69" s="204"/>
      <c r="N69" s="204"/>
      <c r="O69" s="204">
        <v>0</v>
      </c>
      <c r="P69" s="204">
        <v>0</v>
      </c>
      <c r="Q69" s="204" t="e">
        <f>+#REF!</f>
        <v>#REF!</v>
      </c>
    </row>
    <row r="70" spans="1:16134" hidden="1" x14ac:dyDescent="0.25">
      <c r="A70" s="208"/>
      <c r="B70" s="208"/>
      <c r="C70" s="199"/>
      <c r="D70" s="200"/>
      <c r="E70" s="201">
        <f t="shared" si="1"/>
        <v>0</v>
      </c>
      <c r="F70" s="202">
        <f t="shared" si="3"/>
        <v>0</v>
      </c>
      <c r="G70" s="203">
        <v>0</v>
      </c>
      <c r="H70" s="204">
        <f t="shared" si="10"/>
        <v>0</v>
      </c>
      <c r="I70" s="204">
        <f t="shared" si="12"/>
        <v>0</v>
      </c>
      <c r="J70" s="204"/>
      <c r="K70" s="204">
        <f t="shared" si="11"/>
        <v>0</v>
      </c>
      <c r="L70" s="204"/>
      <c r="M70" s="204"/>
      <c r="N70" s="204"/>
      <c r="O70" s="205">
        <v>0</v>
      </c>
      <c r="P70" s="204">
        <v>0</v>
      </c>
      <c r="Q70" s="204" t="e">
        <f>+#REF!</f>
        <v>#REF!</v>
      </c>
    </row>
    <row r="71" spans="1:16134" hidden="1" x14ac:dyDescent="0.25">
      <c r="A71" s="208"/>
      <c r="B71" s="208"/>
      <c r="C71" s="199"/>
      <c r="D71" s="200"/>
      <c r="E71" s="201">
        <f t="shared" si="1"/>
        <v>0</v>
      </c>
      <c r="F71" s="202">
        <f t="shared" si="3"/>
        <v>0</v>
      </c>
      <c r="G71" s="203">
        <v>0</v>
      </c>
      <c r="H71" s="204">
        <f t="shared" si="10"/>
        <v>0</v>
      </c>
      <c r="I71" s="204">
        <f t="shared" si="12"/>
        <v>0</v>
      </c>
      <c r="J71" s="204"/>
      <c r="K71" s="204">
        <f t="shared" si="11"/>
        <v>0</v>
      </c>
      <c r="L71" s="204"/>
      <c r="M71" s="204"/>
      <c r="N71" s="204"/>
      <c r="O71" s="204">
        <v>0</v>
      </c>
      <c r="P71" s="204">
        <v>0</v>
      </c>
      <c r="Q71" s="204" t="e">
        <f>+#REF!</f>
        <v>#REF!</v>
      </c>
    </row>
    <row r="72" spans="1:16134" hidden="1" x14ac:dyDescent="0.25">
      <c r="A72" s="208"/>
      <c r="B72" s="208"/>
      <c r="C72" s="199"/>
      <c r="D72" s="200"/>
      <c r="E72" s="201">
        <f t="shared" si="1"/>
        <v>0</v>
      </c>
      <c r="F72" s="202">
        <f t="shared" si="3"/>
        <v>0</v>
      </c>
      <c r="G72" s="203">
        <v>0</v>
      </c>
      <c r="H72" s="204">
        <f t="shared" si="10"/>
        <v>0</v>
      </c>
      <c r="I72" s="204">
        <f t="shared" si="12"/>
        <v>0</v>
      </c>
      <c r="J72" s="204"/>
      <c r="K72" s="204">
        <f t="shared" si="11"/>
        <v>0</v>
      </c>
      <c r="L72" s="204"/>
      <c r="M72" s="204"/>
      <c r="N72" s="204"/>
      <c r="O72" s="205">
        <v>0</v>
      </c>
      <c r="P72" s="204">
        <v>0</v>
      </c>
      <c r="Q72" s="204" t="e">
        <f>+#REF!</f>
        <v>#REF!</v>
      </c>
    </row>
    <row r="73" spans="1:16134" hidden="1" x14ac:dyDescent="0.25">
      <c r="A73" s="208"/>
      <c r="B73" s="208"/>
      <c r="C73" s="199"/>
      <c r="D73" s="200"/>
      <c r="E73" s="201">
        <f t="shared" si="1"/>
        <v>0</v>
      </c>
      <c r="F73" s="202">
        <f t="shared" si="3"/>
        <v>0</v>
      </c>
      <c r="G73" s="203">
        <v>0</v>
      </c>
      <c r="H73" s="204">
        <f t="shared" si="10"/>
        <v>0</v>
      </c>
      <c r="I73" s="204">
        <f t="shared" si="12"/>
        <v>0</v>
      </c>
      <c r="J73" s="204"/>
      <c r="K73" s="204">
        <f t="shared" si="11"/>
        <v>0</v>
      </c>
      <c r="L73" s="204"/>
      <c r="M73" s="204"/>
      <c r="N73" s="204"/>
      <c r="O73" s="204">
        <v>0</v>
      </c>
      <c r="P73" s="204">
        <v>0</v>
      </c>
      <c r="Q73" s="204" t="e">
        <f>+#REF!</f>
        <v>#REF!</v>
      </c>
    </row>
    <row r="74" spans="1:16134" hidden="1" x14ac:dyDescent="0.25">
      <c r="A74" s="208"/>
      <c r="B74" s="208"/>
      <c r="C74" s="199"/>
      <c r="D74" s="200"/>
      <c r="E74" s="201">
        <f t="shared" si="1"/>
        <v>0</v>
      </c>
      <c r="F74" s="202">
        <f t="shared" si="3"/>
        <v>0</v>
      </c>
      <c r="G74" s="203">
        <v>0</v>
      </c>
      <c r="H74" s="204">
        <f t="shared" si="10"/>
        <v>0</v>
      </c>
      <c r="I74" s="204">
        <f t="shared" si="12"/>
        <v>0</v>
      </c>
      <c r="J74" s="204"/>
      <c r="K74" s="204">
        <f t="shared" si="11"/>
        <v>0</v>
      </c>
      <c r="L74" s="204"/>
      <c r="M74" s="204"/>
      <c r="N74" s="204"/>
      <c r="O74" s="205">
        <v>0</v>
      </c>
      <c r="P74" s="204">
        <v>0</v>
      </c>
      <c r="Q74" s="204" t="e">
        <f>+#REF!</f>
        <v>#REF!</v>
      </c>
    </row>
    <row r="75" spans="1:16134" hidden="1" x14ac:dyDescent="0.25">
      <c r="A75" s="208"/>
      <c r="B75" s="208"/>
      <c r="C75" s="199"/>
      <c r="D75" s="200"/>
      <c r="E75" s="201">
        <f t="shared" si="1"/>
        <v>0</v>
      </c>
      <c r="F75" s="202">
        <f t="shared" si="3"/>
        <v>0</v>
      </c>
      <c r="G75" s="203">
        <v>0</v>
      </c>
      <c r="H75" s="204">
        <f t="shared" si="10"/>
        <v>0</v>
      </c>
      <c r="I75" s="204">
        <f t="shared" si="12"/>
        <v>0</v>
      </c>
      <c r="J75" s="204"/>
      <c r="K75" s="204">
        <f t="shared" si="11"/>
        <v>0</v>
      </c>
      <c r="L75" s="204"/>
      <c r="M75" s="204"/>
      <c r="N75" s="204"/>
      <c r="O75" s="204">
        <v>0</v>
      </c>
      <c r="P75" s="204">
        <v>0</v>
      </c>
      <c r="Q75" s="204" t="e">
        <f>+#REF!</f>
        <v>#REF!</v>
      </c>
    </row>
    <row r="76" spans="1:16134" hidden="1" x14ac:dyDescent="0.25">
      <c r="A76" s="208"/>
      <c r="B76" s="208"/>
      <c r="C76" s="199"/>
      <c r="D76" s="200"/>
      <c r="E76" s="201">
        <f t="shared" si="1"/>
        <v>0</v>
      </c>
      <c r="F76" s="202">
        <f t="shared" si="3"/>
        <v>0</v>
      </c>
      <c r="G76" s="203">
        <v>0</v>
      </c>
      <c r="H76" s="204">
        <f t="shared" si="10"/>
        <v>0</v>
      </c>
      <c r="I76" s="204">
        <f t="shared" si="12"/>
        <v>0</v>
      </c>
      <c r="J76" s="204"/>
      <c r="K76" s="204">
        <f t="shared" si="11"/>
        <v>0</v>
      </c>
      <c r="L76" s="204"/>
      <c r="M76" s="204"/>
      <c r="N76" s="204"/>
      <c r="O76" s="205">
        <v>0</v>
      </c>
      <c r="P76" s="204">
        <v>0</v>
      </c>
      <c r="Q76" s="204" t="e">
        <f>+#REF!</f>
        <v>#REF!</v>
      </c>
    </row>
    <row r="77" spans="1:16134" s="151" customFormat="1" hidden="1" x14ac:dyDescent="0.25">
      <c r="A77" s="209"/>
      <c r="B77" s="209"/>
      <c r="C77" s="199"/>
      <c r="D77" s="200"/>
      <c r="E77" s="201">
        <f t="shared" si="1"/>
        <v>0</v>
      </c>
      <c r="F77" s="202">
        <f t="shared" si="3"/>
        <v>0</v>
      </c>
      <c r="G77" s="203">
        <v>0</v>
      </c>
      <c r="H77" s="204">
        <f t="shared" si="8"/>
        <v>0</v>
      </c>
      <c r="I77" s="204">
        <f t="shared" si="9"/>
        <v>0</v>
      </c>
      <c r="J77" s="204"/>
      <c r="K77" s="204">
        <f t="shared" ref="K77:K92" si="13">(G77/30*50)</f>
        <v>0</v>
      </c>
      <c r="L77" s="204"/>
      <c r="M77" s="204"/>
      <c r="N77" s="204"/>
      <c r="O77" s="204">
        <v>0</v>
      </c>
      <c r="P77" s="204">
        <v>0</v>
      </c>
      <c r="Q77" s="204" t="e">
        <f>+#REF!</f>
        <v>#REF!</v>
      </c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  <c r="AQ77" s="139"/>
      <c r="AR77" s="139"/>
      <c r="AS77" s="139"/>
      <c r="AT77" s="139"/>
      <c r="AU77" s="139"/>
      <c r="AV77" s="139"/>
      <c r="AW77" s="139"/>
      <c r="AX77" s="139"/>
      <c r="AY77" s="139"/>
      <c r="AZ77" s="139"/>
      <c r="BA77" s="139"/>
      <c r="BB77" s="139"/>
      <c r="BC77" s="139"/>
      <c r="BD77" s="139"/>
      <c r="BE77" s="139"/>
      <c r="BF77" s="139"/>
      <c r="BG77" s="139"/>
      <c r="BH77" s="139"/>
      <c r="BI77" s="139"/>
      <c r="BJ77" s="139"/>
      <c r="BK77" s="139"/>
      <c r="BL77" s="139"/>
      <c r="BM77" s="139"/>
      <c r="BN77" s="139"/>
      <c r="BO77" s="139"/>
      <c r="BP77" s="139"/>
      <c r="BQ77" s="139"/>
      <c r="BR77" s="139"/>
      <c r="BS77" s="139"/>
      <c r="BT77" s="139"/>
      <c r="BU77" s="139"/>
      <c r="BV77" s="139"/>
      <c r="BW77" s="139"/>
      <c r="BX77" s="139"/>
      <c r="BY77" s="139"/>
      <c r="BZ77" s="139"/>
      <c r="CA77" s="139"/>
      <c r="CB77" s="139"/>
      <c r="CC77" s="139"/>
      <c r="CD77" s="139"/>
      <c r="CE77" s="139"/>
      <c r="CF77" s="139"/>
      <c r="CG77" s="139"/>
      <c r="CH77" s="139"/>
      <c r="CI77" s="139"/>
      <c r="CJ77" s="139"/>
      <c r="CK77" s="139"/>
      <c r="CL77" s="139"/>
      <c r="CM77" s="139"/>
      <c r="CN77" s="139"/>
      <c r="CO77" s="139"/>
      <c r="CP77" s="139"/>
      <c r="CQ77" s="139"/>
      <c r="CR77" s="139"/>
      <c r="CS77" s="139"/>
      <c r="CT77" s="139"/>
      <c r="CU77" s="139"/>
      <c r="CV77" s="139"/>
      <c r="CW77" s="139"/>
      <c r="CX77" s="139"/>
      <c r="CY77" s="139"/>
      <c r="CZ77" s="139"/>
      <c r="DA77" s="139"/>
      <c r="DB77" s="139"/>
      <c r="DC77" s="139"/>
      <c r="DD77" s="139"/>
      <c r="DE77" s="139"/>
      <c r="DF77" s="139"/>
      <c r="DG77" s="139"/>
      <c r="DH77" s="139"/>
      <c r="DI77" s="139"/>
      <c r="DJ77" s="139"/>
      <c r="DK77" s="139"/>
      <c r="DL77" s="139"/>
      <c r="DM77" s="139"/>
      <c r="DN77" s="139"/>
      <c r="DO77" s="139"/>
      <c r="DP77" s="139"/>
      <c r="DQ77" s="139"/>
      <c r="DR77" s="139"/>
      <c r="DS77" s="139"/>
      <c r="DT77" s="139"/>
      <c r="DU77" s="139"/>
      <c r="DV77" s="139"/>
      <c r="DW77" s="139"/>
      <c r="DX77" s="139"/>
      <c r="DY77" s="139"/>
      <c r="DZ77" s="139"/>
      <c r="EA77" s="139"/>
      <c r="EB77" s="139"/>
      <c r="EC77" s="139"/>
      <c r="ED77" s="139"/>
      <c r="EE77" s="139"/>
      <c r="EF77" s="139"/>
      <c r="EG77" s="139"/>
      <c r="EH77" s="139"/>
      <c r="EI77" s="139"/>
      <c r="EJ77" s="139"/>
      <c r="EK77" s="139"/>
      <c r="EL77" s="139"/>
      <c r="EM77" s="139"/>
      <c r="EN77" s="139"/>
      <c r="EO77" s="139"/>
      <c r="EP77" s="139"/>
      <c r="EQ77" s="139"/>
      <c r="ER77" s="139"/>
      <c r="ES77" s="139"/>
      <c r="ET77" s="139"/>
      <c r="EU77" s="139"/>
      <c r="EV77" s="139"/>
      <c r="EW77" s="139"/>
      <c r="EX77" s="139"/>
      <c r="EY77" s="139"/>
      <c r="EZ77" s="139"/>
      <c r="FA77" s="139"/>
      <c r="FB77" s="139"/>
      <c r="FC77" s="139"/>
      <c r="FD77" s="139"/>
      <c r="FE77" s="139"/>
      <c r="FF77" s="139"/>
      <c r="FG77" s="139"/>
      <c r="FH77" s="139"/>
      <c r="FI77" s="139"/>
      <c r="FJ77" s="139"/>
      <c r="FK77" s="139"/>
      <c r="FL77" s="139"/>
      <c r="FM77" s="139"/>
      <c r="FN77" s="139"/>
      <c r="FO77" s="139"/>
      <c r="FP77" s="139"/>
      <c r="FQ77" s="139"/>
      <c r="FR77" s="139"/>
      <c r="FS77" s="139"/>
      <c r="FT77" s="139"/>
      <c r="FU77" s="139"/>
      <c r="FV77" s="139"/>
      <c r="FW77" s="139"/>
      <c r="FX77" s="139"/>
      <c r="FY77" s="139"/>
      <c r="FZ77" s="139"/>
      <c r="GA77" s="139"/>
      <c r="GB77" s="139"/>
      <c r="GC77" s="139"/>
      <c r="GD77" s="139"/>
      <c r="GE77" s="139"/>
      <c r="GF77" s="139"/>
      <c r="GG77" s="139"/>
      <c r="GH77" s="139"/>
      <c r="GI77" s="139"/>
      <c r="GJ77" s="139"/>
      <c r="GK77" s="139"/>
      <c r="GL77" s="139"/>
      <c r="GM77" s="139"/>
      <c r="GN77" s="139"/>
      <c r="GO77" s="139"/>
      <c r="GP77" s="139"/>
      <c r="GQ77" s="139"/>
      <c r="GR77" s="139"/>
      <c r="GS77" s="139"/>
      <c r="GT77" s="139"/>
      <c r="GU77" s="139"/>
      <c r="GV77" s="139"/>
      <c r="GW77" s="139"/>
      <c r="GX77" s="139"/>
      <c r="GY77" s="139"/>
      <c r="GZ77" s="139"/>
      <c r="HA77" s="139"/>
      <c r="HB77" s="139"/>
      <c r="HC77" s="139"/>
      <c r="HD77" s="139"/>
      <c r="HE77" s="139"/>
      <c r="HF77" s="139"/>
      <c r="HG77" s="139"/>
      <c r="HH77" s="139"/>
      <c r="HI77" s="139"/>
      <c r="HJ77" s="139"/>
      <c r="HK77" s="139"/>
      <c r="HL77" s="139"/>
      <c r="HM77" s="139"/>
      <c r="HN77" s="139"/>
      <c r="HO77" s="139"/>
      <c r="HP77" s="139"/>
      <c r="HQ77" s="139"/>
      <c r="HR77" s="139"/>
      <c r="HS77" s="139"/>
      <c r="HT77" s="139"/>
      <c r="HU77" s="139"/>
      <c r="HV77" s="139"/>
      <c r="HW77" s="139"/>
      <c r="HX77" s="139"/>
      <c r="HY77" s="139"/>
      <c r="HZ77" s="139"/>
      <c r="IA77" s="139"/>
      <c r="IB77" s="139"/>
      <c r="IC77" s="139"/>
      <c r="ID77" s="139"/>
      <c r="IE77" s="139"/>
      <c r="IF77" s="139"/>
      <c r="IG77" s="139"/>
      <c r="IH77" s="139"/>
      <c r="II77" s="139"/>
      <c r="IJ77" s="139"/>
      <c r="IK77" s="139"/>
      <c r="IL77" s="139"/>
      <c r="IM77" s="139"/>
      <c r="IN77" s="139"/>
      <c r="IO77" s="139"/>
      <c r="IP77" s="139"/>
      <c r="IQ77" s="139"/>
      <c r="IR77" s="139"/>
      <c r="IS77" s="139"/>
      <c r="IT77" s="139"/>
      <c r="IU77" s="139"/>
      <c r="IV77" s="139"/>
      <c r="IW77" s="139"/>
      <c r="IX77" s="139"/>
      <c r="IY77" s="139"/>
      <c r="IZ77" s="139"/>
      <c r="JA77" s="139"/>
      <c r="JB77" s="139"/>
      <c r="JC77" s="139"/>
      <c r="JD77" s="139"/>
      <c r="JE77" s="139"/>
      <c r="JF77" s="139"/>
      <c r="JG77" s="139"/>
      <c r="JH77" s="139"/>
      <c r="JI77" s="139"/>
      <c r="JJ77" s="139"/>
      <c r="JK77" s="139"/>
      <c r="JL77" s="139"/>
      <c r="JM77" s="139"/>
      <c r="JN77" s="139"/>
      <c r="JO77" s="139"/>
      <c r="JP77" s="139"/>
      <c r="JQ77" s="139"/>
      <c r="JR77" s="139"/>
      <c r="JS77" s="139"/>
      <c r="JT77" s="139"/>
      <c r="JU77" s="139"/>
      <c r="JV77" s="139"/>
      <c r="JW77" s="139"/>
      <c r="JX77" s="139"/>
      <c r="JY77" s="139"/>
      <c r="JZ77" s="139"/>
      <c r="KA77" s="139"/>
      <c r="KB77" s="139"/>
      <c r="KC77" s="139"/>
      <c r="KD77" s="139"/>
      <c r="KE77" s="139"/>
      <c r="KF77" s="139"/>
      <c r="KG77" s="139"/>
      <c r="KH77" s="139"/>
      <c r="KI77" s="139"/>
      <c r="KJ77" s="139"/>
      <c r="KK77" s="139"/>
      <c r="KL77" s="139"/>
      <c r="KM77" s="139"/>
      <c r="KN77" s="139"/>
      <c r="KO77" s="139"/>
      <c r="KP77" s="139"/>
      <c r="KQ77" s="139"/>
      <c r="KR77" s="139"/>
      <c r="KS77" s="139"/>
      <c r="KT77" s="139"/>
      <c r="KU77" s="139"/>
      <c r="KV77" s="139"/>
      <c r="KW77" s="139"/>
      <c r="KX77" s="139"/>
      <c r="KY77" s="139"/>
      <c r="KZ77" s="139"/>
      <c r="LA77" s="139"/>
      <c r="LB77" s="139"/>
      <c r="LC77" s="139"/>
      <c r="LD77" s="139"/>
      <c r="LE77" s="139"/>
      <c r="LF77" s="139"/>
      <c r="LG77" s="139"/>
      <c r="LH77" s="139"/>
      <c r="LI77" s="139"/>
      <c r="LJ77" s="139"/>
      <c r="LK77" s="139"/>
      <c r="LL77" s="139"/>
      <c r="LM77" s="139"/>
      <c r="LN77" s="139"/>
      <c r="LO77" s="139"/>
      <c r="LP77" s="139"/>
      <c r="LQ77" s="139"/>
      <c r="LR77" s="139"/>
      <c r="LS77" s="139"/>
      <c r="LT77" s="139"/>
      <c r="LU77" s="139"/>
      <c r="LV77" s="139"/>
      <c r="LW77" s="139"/>
      <c r="LX77" s="139"/>
      <c r="LY77" s="139"/>
      <c r="LZ77" s="139"/>
      <c r="MA77" s="139"/>
      <c r="MB77" s="139"/>
      <c r="MC77" s="139"/>
      <c r="MD77" s="139"/>
      <c r="ME77" s="139"/>
      <c r="MF77" s="139"/>
      <c r="MG77" s="139"/>
      <c r="MH77" s="139"/>
      <c r="MI77" s="139"/>
      <c r="MJ77" s="139"/>
      <c r="MK77" s="139"/>
      <c r="ML77" s="139"/>
      <c r="MM77" s="139"/>
      <c r="MN77" s="139"/>
      <c r="MO77" s="139"/>
      <c r="MP77" s="139"/>
      <c r="MQ77" s="139"/>
      <c r="MR77" s="139"/>
      <c r="MS77" s="139"/>
      <c r="MT77" s="139"/>
      <c r="MU77" s="139"/>
      <c r="MV77" s="139"/>
      <c r="MW77" s="139"/>
      <c r="MX77" s="139"/>
      <c r="MY77" s="139"/>
      <c r="MZ77" s="139"/>
      <c r="NA77" s="139"/>
      <c r="NB77" s="139"/>
      <c r="NC77" s="139"/>
      <c r="ND77" s="139"/>
      <c r="NE77" s="139"/>
      <c r="NF77" s="139"/>
      <c r="NG77" s="139"/>
      <c r="NH77" s="139"/>
      <c r="NI77" s="139"/>
      <c r="NJ77" s="139"/>
      <c r="NK77" s="139"/>
      <c r="NL77" s="139"/>
      <c r="NM77" s="139"/>
      <c r="NN77" s="139"/>
      <c r="NO77" s="139"/>
      <c r="NP77" s="139"/>
      <c r="NQ77" s="139"/>
      <c r="NR77" s="139"/>
      <c r="NS77" s="139"/>
      <c r="NT77" s="139"/>
      <c r="NU77" s="139"/>
      <c r="NV77" s="139"/>
      <c r="NW77" s="139"/>
      <c r="NX77" s="139"/>
      <c r="NY77" s="139"/>
      <c r="NZ77" s="139"/>
      <c r="OA77" s="139"/>
      <c r="OB77" s="139"/>
      <c r="OC77" s="139"/>
      <c r="OD77" s="139"/>
      <c r="OE77" s="139"/>
      <c r="OF77" s="139"/>
      <c r="OG77" s="139"/>
      <c r="OH77" s="139"/>
      <c r="OI77" s="139"/>
      <c r="OJ77" s="139"/>
      <c r="OK77" s="139"/>
      <c r="OL77" s="139"/>
      <c r="OM77" s="139"/>
      <c r="ON77" s="139"/>
      <c r="OO77" s="139"/>
      <c r="OP77" s="139"/>
      <c r="OQ77" s="139"/>
      <c r="OR77" s="139"/>
      <c r="OS77" s="139"/>
      <c r="OT77" s="139"/>
      <c r="OU77" s="139"/>
      <c r="OV77" s="139"/>
      <c r="OW77" s="139"/>
      <c r="OX77" s="139"/>
      <c r="OY77" s="139"/>
      <c r="OZ77" s="139"/>
      <c r="PA77" s="139"/>
      <c r="PB77" s="139"/>
      <c r="PC77" s="139"/>
      <c r="PD77" s="139"/>
      <c r="PE77" s="139"/>
      <c r="PF77" s="139"/>
      <c r="PG77" s="139"/>
      <c r="PH77" s="139"/>
      <c r="PI77" s="139"/>
      <c r="PJ77" s="139"/>
      <c r="PK77" s="139"/>
      <c r="PL77" s="139"/>
      <c r="PM77" s="139"/>
      <c r="PN77" s="139"/>
      <c r="PO77" s="139"/>
      <c r="PP77" s="139"/>
      <c r="PQ77" s="139"/>
      <c r="PR77" s="139"/>
      <c r="PS77" s="139"/>
      <c r="PT77" s="139"/>
      <c r="PU77" s="139"/>
      <c r="PV77" s="139"/>
      <c r="PW77" s="139"/>
      <c r="PX77" s="139"/>
      <c r="PY77" s="139"/>
      <c r="PZ77" s="139"/>
      <c r="QA77" s="139"/>
      <c r="QB77" s="139"/>
      <c r="QC77" s="139"/>
      <c r="QD77" s="139"/>
      <c r="QE77" s="139"/>
      <c r="QF77" s="139"/>
      <c r="QG77" s="139"/>
      <c r="QH77" s="139"/>
      <c r="QI77" s="139"/>
      <c r="QJ77" s="139"/>
      <c r="QK77" s="139"/>
      <c r="QL77" s="139"/>
      <c r="QM77" s="139"/>
      <c r="QN77" s="139"/>
      <c r="QO77" s="139"/>
      <c r="QP77" s="139"/>
      <c r="QQ77" s="139"/>
      <c r="QR77" s="139"/>
      <c r="QS77" s="139"/>
      <c r="QT77" s="139"/>
      <c r="QU77" s="139"/>
      <c r="QV77" s="139"/>
      <c r="QW77" s="139"/>
      <c r="QX77" s="139"/>
      <c r="QY77" s="139"/>
      <c r="QZ77" s="139"/>
      <c r="RA77" s="139"/>
      <c r="RB77" s="139"/>
      <c r="RC77" s="139"/>
      <c r="RD77" s="139"/>
      <c r="RE77" s="139"/>
      <c r="RF77" s="139"/>
      <c r="RG77" s="139"/>
      <c r="RH77" s="139"/>
      <c r="RI77" s="139"/>
      <c r="RJ77" s="139"/>
      <c r="RK77" s="139"/>
      <c r="RL77" s="139"/>
      <c r="RM77" s="139"/>
      <c r="RN77" s="139"/>
      <c r="RO77" s="139"/>
      <c r="RP77" s="139"/>
      <c r="RQ77" s="139"/>
      <c r="RR77" s="139"/>
      <c r="RS77" s="139"/>
      <c r="RT77" s="139"/>
      <c r="RU77" s="139"/>
      <c r="RV77" s="139"/>
      <c r="RW77" s="139"/>
      <c r="RX77" s="139"/>
      <c r="RY77" s="139"/>
      <c r="RZ77" s="139"/>
      <c r="SA77" s="139"/>
      <c r="SB77" s="139"/>
      <c r="SC77" s="139"/>
      <c r="SD77" s="139"/>
      <c r="SE77" s="139"/>
      <c r="SF77" s="139"/>
      <c r="SG77" s="139"/>
      <c r="SH77" s="139"/>
      <c r="SI77" s="139"/>
      <c r="SJ77" s="139"/>
      <c r="SK77" s="139"/>
      <c r="SL77" s="139"/>
      <c r="SM77" s="139"/>
      <c r="SN77" s="139"/>
      <c r="SO77" s="139"/>
      <c r="SP77" s="139"/>
      <c r="SQ77" s="139"/>
      <c r="SR77" s="139"/>
      <c r="SS77" s="139"/>
      <c r="ST77" s="139"/>
      <c r="SU77" s="139"/>
      <c r="SV77" s="139"/>
      <c r="SW77" s="139"/>
      <c r="SX77" s="139"/>
      <c r="SY77" s="139"/>
      <c r="SZ77" s="139"/>
      <c r="TA77" s="139"/>
      <c r="TB77" s="139"/>
      <c r="TC77" s="139"/>
      <c r="TD77" s="139"/>
      <c r="TE77" s="139"/>
      <c r="TF77" s="139"/>
      <c r="TG77" s="139"/>
      <c r="TH77" s="139"/>
      <c r="TI77" s="139"/>
      <c r="TJ77" s="139"/>
      <c r="TK77" s="139"/>
      <c r="TL77" s="139"/>
      <c r="TM77" s="139"/>
      <c r="TN77" s="139"/>
      <c r="TO77" s="139"/>
      <c r="TP77" s="139"/>
      <c r="TQ77" s="139"/>
      <c r="TR77" s="139"/>
      <c r="TS77" s="139"/>
      <c r="TT77" s="139"/>
      <c r="TU77" s="139"/>
      <c r="TV77" s="139"/>
      <c r="TW77" s="139"/>
      <c r="TX77" s="139"/>
      <c r="TY77" s="139"/>
      <c r="TZ77" s="139"/>
      <c r="UA77" s="139"/>
      <c r="UB77" s="139"/>
      <c r="UC77" s="139"/>
      <c r="UD77" s="139"/>
      <c r="UE77" s="139"/>
      <c r="UF77" s="139"/>
      <c r="UG77" s="139"/>
      <c r="UH77" s="139"/>
      <c r="UI77" s="139"/>
      <c r="UJ77" s="139"/>
      <c r="UK77" s="139"/>
      <c r="UL77" s="139"/>
      <c r="UM77" s="139"/>
      <c r="UN77" s="139"/>
      <c r="UO77" s="139"/>
      <c r="UP77" s="139"/>
      <c r="UQ77" s="139"/>
      <c r="UR77" s="139"/>
      <c r="US77" s="139"/>
      <c r="UT77" s="139"/>
      <c r="UU77" s="139"/>
      <c r="UV77" s="139"/>
      <c r="UW77" s="139"/>
      <c r="UX77" s="139"/>
      <c r="UY77" s="139"/>
      <c r="UZ77" s="139"/>
      <c r="VA77" s="139"/>
      <c r="VB77" s="139"/>
      <c r="VC77" s="139"/>
      <c r="VD77" s="139"/>
      <c r="VE77" s="139"/>
      <c r="VF77" s="139"/>
      <c r="VG77" s="139"/>
      <c r="VH77" s="139"/>
      <c r="VI77" s="139"/>
      <c r="VJ77" s="139"/>
      <c r="VK77" s="139"/>
      <c r="VL77" s="139"/>
      <c r="VM77" s="139"/>
      <c r="VN77" s="139"/>
      <c r="VO77" s="139"/>
      <c r="VP77" s="139"/>
      <c r="VQ77" s="139"/>
      <c r="VR77" s="139"/>
      <c r="VS77" s="139"/>
      <c r="VT77" s="139"/>
      <c r="VU77" s="139"/>
      <c r="VV77" s="139"/>
      <c r="VW77" s="139"/>
      <c r="VX77" s="139"/>
      <c r="VY77" s="139"/>
      <c r="VZ77" s="139"/>
      <c r="WA77" s="139"/>
      <c r="WB77" s="139"/>
      <c r="WC77" s="139"/>
      <c r="WD77" s="139"/>
      <c r="WE77" s="139"/>
      <c r="WF77" s="139"/>
      <c r="WG77" s="139"/>
      <c r="WH77" s="139"/>
      <c r="WI77" s="139"/>
      <c r="WJ77" s="139"/>
      <c r="WK77" s="139"/>
      <c r="WL77" s="139"/>
      <c r="WM77" s="139"/>
      <c r="WN77" s="139"/>
      <c r="WO77" s="139"/>
      <c r="WP77" s="139"/>
      <c r="WQ77" s="139"/>
      <c r="WR77" s="139"/>
      <c r="WS77" s="139"/>
      <c r="WT77" s="139"/>
      <c r="WU77" s="139"/>
      <c r="WV77" s="139"/>
      <c r="WW77" s="139"/>
      <c r="WX77" s="139"/>
      <c r="WY77" s="139"/>
      <c r="WZ77" s="139"/>
      <c r="XA77" s="139"/>
      <c r="XB77" s="139"/>
      <c r="XC77" s="139"/>
      <c r="XD77" s="139"/>
      <c r="XE77" s="139"/>
      <c r="XF77" s="139"/>
      <c r="XG77" s="139"/>
      <c r="XH77" s="139"/>
      <c r="XI77" s="139"/>
      <c r="XJ77" s="139"/>
      <c r="XK77" s="139"/>
      <c r="XL77" s="139"/>
      <c r="XM77" s="139"/>
      <c r="XN77" s="139"/>
      <c r="XO77" s="139"/>
      <c r="XP77" s="139"/>
      <c r="XQ77" s="139"/>
      <c r="XR77" s="139"/>
      <c r="XS77" s="139"/>
      <c r="XT77" s="139"/>
      <c r="XU77" s="139"/>
      <c r="XV77" s="139"/>
      <c r="XW77" s="139"/>
      <c r="XX77" s="139"/>
      <c r="XY77" s="139"/>
      <c r="XZ77" s="139"/>
      <c r="YA77" s="139"/>
      <c r="YB77" s="139"/>
      <c r="YC77" s="139"/>
      <c r="YD77" s="139"/>
      <c r="YE77" s="139"/>
      <c r="YF77" s="139"/>
      <c r="YG77" s="139"/>
      <c r="YH77" s="139"/>
      <c r="YI77" s="139"/>
      <c r="YJ77" s="139"/>
      <c r="YK77" s="139"/>
      <c r="YL77" s="139"/>
      <c r="YM77" s="139"/>
      <c r="YN77" s="139"/>
      <c r="YO77" s="139"/>
      <c r="YP77" s="139"/>
      <c r="YQ77" s="139"/>
      <c r="YR77" s="139"/>
      <c r="YS77" s="139"/>
      <c r="YT77" s="139"/>
      <c r="YU77" s="139"/>
      <c r="YV77" s="139"/>
      <c r="YW77" s="139"/>
      <c r="YX77" s="139"/>
      <c r="YY77" s="139"/>
      <c r="YZ77" s="139"/>
      <c r="ZA77" s="139"/>
      <c r="ZB77" s="139"/>
      <c r="ZC77" s="139"/>
      <c r="ZD77" s="139"/>
      <c r="ZE77" s="139"/>
      <c r="ZF77" s="139"/>
      <c r="ZG77" s="139"/>
      <c r="ZH77" s="139"/>
      <c r="ZI77" s="139"/>
      <c r="ZJ77" s="139"/>
      <c r="ZK77" s="139"/>
      <c r="ZL77" s="139"/>
      <c r="ZM77" s="139"/>
      <c r="ZN77" s="139"/>
      <c r="ZO77" s="139"/>
      <c r="ZP77" s="139"/>
      <c r="ZQ77" s="139"/>
      <c r="ZR77" s="139"/>
      <c r="ZS77" s="139"/>
      <c r="ZT77" s="139"/>
      <c r="ZU77" s="139"/>
      <c r="ZV77" s="139"/>
      <c r="ZW77" s="139"/>
      <c r="ZX77" s="139"/>
      <c r="ZY77" s="139"/>
      <c r="ZZ77" s="139"/>
      <c r="AAA77" s="139"/>
      <c r="AAB77" s="139"/>
      <c r="AAC77" s="139"/>
      <c r="AAD77" s="139"/>
      <c r="AAE77" s="139"/>
      <c r="AAF77" s="139"/>
      <c r="AAG77" s="139"/>
      <c r="AAH77" s="139"/>
      <c r="AAI77" s="139"/>
      <c r="AAJ77" s="139"/>
      <c r="AAK77" s="139"/>
      <c r="AAL77" s="139"/>
      <c r="AAM77" s="139"/>
      <c r="AAN77" s="139"/>
      <c r="AAO77" s="139"/>
      <c r="AAP77" s="139"/>
      <c r="AAQ77" s="139"/>
      <c r="AAR77" s="139"/>
      <c r="AAS77" s="139"/>
      <c r="AAT77" s="139"/>
      <c r="AAU77" s="139"/>
      <c r="AAV77" s="139"/>
      <c r="AAW77" s="139"/>
      <c r="AAX77" s="139"/>
      <c r="AAY77" s="139"/>
      <c r="AAZ77" s="139"/>
      <c r="ABA77" s="139"/>
      <c r="ABB77" s="139"/>
      <c r="ABC77" s="139"/>
      <c r="ABD77" s="139"/>
      <c r="ABE77" s="139"/>
      <c r="ABF77" s="139"/>
      <c r="ABG77" s="139"/>
      <c r="ABH77" s="139"/>
      <c r="ABI77" s="139"/>
      <c r="ABJ77" s="139"/>
      <c r="ABK77" s="139"/>
      <c r="ABL77" s="139"/>
      <c r="ABM77" s="139"/>
      <c r="ABN77" s="139"/>
      <c r="ABO77" s="139"/>
      <c r="ABP77" s="139"/>
      <c r="ABQ77" s="139"/>
      <c r="ABR77" s="139"/>
      <c r="ABS77" s="139"/>
      <c r="ABT77" s="139"/>
      <c r="ABU77" s="139"/>
      <c r="ABV77" s="139"/>
      <c r="ABW77" s="139"/>
      <c r="ABX77" s="139"/>
      <c r="ABY77" s="139"/>
      <c r="ABZ77" s="139"/>
      <c r="ACA77" s="139"/>
      <c r="ACB77" s="139"/>
      <c r="ACC77" s="139"/>
      <c r="ACD77" s="139"/>
      <c r="ACE77" s="139"/>
      <c r="ACF77" s="139"/>
      <c r="ACG77" s="139"/>
      <c r="ACH77" s="139"/>
      <c r="ACI77" s="139"/>
      <c r="ACJ77" s="139"/>
      <c r="ACK77" s="139"/>
      <c r="ACL77" s="139"/>
      <c r="ACM77" s="139"/>
      <c r="ACN77" s="139"/>
      <c r="ACO77" s="139"/>
      <c r="ACP77" s="139"/>
      <c r="ACQ77" s="139"/>
      <c r="ACR77" s="139"/>
      <c r="ACS77" s="139"/>
      <c r="ACT77" s="139"/>
      <c r="ACU77" s="139"/>
      <c r="ACV77" s="139"/>
      <c r="ACW77" s="139"/>
      <c r="ACX77" s="139"/>
      <c r="ACY77" s="139"/>
      <c r="ACZ77" s="139"/>
      <c r="ADA77" s="139"/>
      <c r="ADB77" s="139"/>
      <c r="ADC77" s="139"/>
      <c r="ADD77" s="139"/>
      <c r="ADE77" s="139"/>
      <c r="ADF77" s="139"/>
      <c r="ADG77" s="139"/>
      <c r="ADH77" s="139"/>
      <c r="ADI77" s="139"/>
      <c r="ADJ77" s="139"/>
      <c r="ADK77" s="139"/>
      <c r="ADL77" s="139"/>
      <c r="ADM77" s="139"/>
      <c r="ADN77" s="139"/>
      <c r="ADO77" s="139"/>
      <c r="ADP77" s="139"/>
      <c r="ADQ77" s="139"/>
      <c r="ADR77" s="139"/>
      <c r="ADS77" s="139"/>
      <c r="ADT77" s="139"/>
      <c r="ADU77" s="139"/>
      <c r="ADV77" s="139"/>
      <c r="ADW77" s="139"/>
      <c r="ADX77" s="139"/>
      <c r="ADY77" s="139"/>
      <c r="ADZ77" s="139"/>
      <c r="AEA77" s="139"/>
      <c r="AEB77" s="139"/>
      <c r="AEC77" s="139"/>
      <c r="AED77" s="139"/>
      <c r="AEE77" s="139"/>
      <c r="AEF77" s="139"/>
      <c r="AEG77" s="139"/>
      <c r="AEH77" s="139"/>
      <c r="AEI77" s="139"/>
      <c r="AEJ77" s="139"/>
      <c r="AEK77" s="139"/>
      <c r="AEL77" s="139"/>
      <c r="AEM77" s="139"/>
      <c r="AEN77" s="139"/>
      <c r="AEO77" s="139"/>
      <c r="AEP77" s="139"/>
      <c r="AEQ77" s="139"/>
      <c r="AER77" s="139"/>
      <c r="AES77" s="139"/>
      <c r="AET77" s="139"/>
      <c r="AEU77" s="139"/>
      <c r="AEV77" s="139"/>
      <c r="AEW77" s="139"/>
      <c r="AEX77" s="139"/>
      <c r="AEY77" s="139"/>
      <c r="AEZ77" s="139"/>
      <c r="AFA77" s="139"/>
      <c r="AFB77" s="139"/>
      <c r="AFC77" s="139"/>
      <c r="AFD77" s="139"/>
      <c r="AFE77" s="139"/>
      <c r="AFF77" s="139"/>
      <c r="AFG77" s="139"/>
      <c r="AFH77" s="139"/>
      <c r="AFI77" s="139"/>
      <c r="AFJ77" s="139"/>
      <c r="AFK77" s="139"/>
      <c r="AFL77" s="139"/>
      <c r="AFM77" s="139"/>
      <c r="AFN77" s="139"/>
      <c r="AFO77" s="139"/>
      <c r="AFP77" s="139"/>
      <c r="AFQ77" s="139"/>
      <c r="AFR77" s="139"/>
      <c r="AFS77" s="139"/>
      <c r="AFT77" s="139"/>
      <c r="AFU77" s="139"/>
      <c r="AFV77" s="139"/>
      <c r="AFW77" s="139"/>
      <c r="AFX77" s="139"/>
      <c r="AFY77" s="139"/>
      <c r="AFZ77" s="139"/>
      <c r="AGA77" s="139"/>
      <c r="AGB77" s="139"/>
      <c r="AGC77" s="139"/>
      <c r="AGD77" s="139"/>
      <c r="AGE77" s="139"/>
      <c r="AGF77" s="139"/>
      <c r="AGG77" s="139"/>
      <c r="AGH77" s="139"/>
      <c r="AGI77" s="139"/>
      <c r="AGJ77" s="139"/>
      <c r="AGK77" s="139"/>
      <c r="AGL77" s="139"/>
      <c r="AGM77" s="139"/>
      <c r="AGN77" s="139"/>
      <c r="AGO77" s="139"/>
      <c r="AGP77" s="139"/>
      <c r="AGQ77" s="139"/>
      <c r="AGR77" s="139"/>
      <c r="AGS77" s="139"/>
      <c r="AGT77" s="139"/>
      <c r="AGU77" s="139"/>
      <c r="AGV77" s="139"/>
      <c r="AGW77" s="139"/>
      <c r="AGX77" s="139"/>
      <c r="AGY77" s="139"/>
      <c r="AGZ77" s="139"/>
      <c r="AHA77" s="139"/>
      <c r="AHB77" s="139"/>
      <c r="AHC77" s="139"/>
      <c r="AHD77" s="139"/>
      <c r="AHE77" s="139"/>
      <c r="AHF77" s="139"/>
      <c r="AHG77" s="139"/>
      <c r="AHH77" s="139"/>
      <c r="AHI77" s="139"/>
      <c r="AHJ77" s="139"/>
      <c r="AHK77" s="139"/>
      <c r="AHL77" s="139"/>
      <c r="AHM77" s="139"/>
      <c r="AHN77" s="139"/>
      <c r="AHO77" s="139"/>
      <c r="AHP77" s="139"/>
      <c r="AHQ77" s="139"/>
      <c r="AHR77" s="139"/>
      <c r="AHS77" s="139"/>
      <c r="AHT77" s="139"/>
      <c r="AHU77" s="139"/>
      <c r="AHV77" s="139"/>
      <c r="AHW77" s="139"/>
      <c r="AHX77" s="139"/>
      <c r="AHY77" s="139"/>
      <c r="AHZ77" s="139"/>
      <c r="AIA77" s="139"/>
      <c r="AIB77" s="139"/>
      <c r="AIC77" s="139"/>
      <c r="AID77" s="139"/>
      <c r="AIE77" s="139"/>
      <c r="AIF77" s="139"/>
      <c r="AIG77" s="139"/>
      <c r="AIH77" s="139"/>
      <c r="AII77" s="139"/>
      <c r="AIJ77" s="139"/>
      <c r="AIK77" s="139"/>
      <c r="AIL77" s="139"/>
      <c r="AIM77" s="139"/>
      <c r="AIN77" s="139"/>
      <c r="AIO77" s="139"/>
      <c r="AIP77" s="139"/>
      <c r="AIQ77" s="139"/>
      <c r="AIR77" s="139"/>
      <c r="AIS77" s="139"/>
      <c r="AIT77" s="139"/>
      <c r="AIU77" s="139"/>
      <c r="AIV77" s="139"/>
      <c r="AIW77" s="139"/>
      <c r="AIX77" s="139"/>
      <c r="AIY77" s="139"/>
      <c r="AIZ77" s="139"/>
      <c r="AJA77" s="139"/>
      <c r="AJB77" s="139"/>
      <c r="AJC77" s="139"/>
      <c r="AJD77" s="139"/>
      <c r="AJE77" s="139"/>
      <c r="AJF77" s="139"/>
      <c r="AJG77" s="139"/>
      <c r="AJH77" s="139"/>
      <c r="AJI77" s="139"/>
      <c r="AJJ77" s="139"/>
      <c r="AJK77" s="139"/>
      <c r="AJL77" s="139"/>
      <c r="AJM77" s="139"/>
      <c r="AJN77" s="139"/>
      <c r="AJO77" s="139"/>
      <c r="AJP77" s="139"/>
      <c r="AJQ77" s="139"/>
      <c r="AJR77" s="139"/>
      <c r="AJS77" s="139"/>
      <c r="AJT77" s="139"/>
      <c r="AJU77" s="139"/>
      <c r="AJV77" s="139"/>
      <c r="AJW77" s="139"/>
      <c r="AJX77" s="139"/>
      <c r="AJY77" s="139"/>
      <c r="AJZ77" s="139"/>
      <c r="AKA77" s="139"/>
      <c r="AKB77" s="139"/>
      <c r="AKC77" s="139"/>
      <c r="AKD77" s="139"/>
      <c r="AKE77" s="139"/>
      <c r="AKF77" s="139"/>
      <c r="AKG77" s="139"/>
      <c r="AKH77" s="139"/>
      <c r="AKI77" s="139"/>
      <c r="AKJ77" s="139"/>
      <c r="AKK77" s="139"/>
      <c r="AKL77" s="139"/>
      <c r="AKM77" s="139"/>
      <c r="AKN77" s="139"/>
      <c r="AKO77" s="139"/>
      <c r="AKP77" s="139"/>
      <c r="AKQ77" s="139"/>
      <c r="AKR77" s="139"/>
      <c r="AKS77" s="139"/>
      <c r="AKT77" s="139"/>
      <c r="AKU77" s="139"/>
      <c r="AKV77" s="139"/>
      <c r="AKW77" s="139"/>
      <c r="AKX77" s="139"/>
      <c r="AKY77" s="139"/>
      <c r="AKZ77" s="139"/>
      <c r="ALA77" s="139"/>
      <c r="ALB77" s="139"/>
      <c r="ALC77" s="139"/>
      <c r="ALD77" s="139"/>
      <c r="ALE77" s="139"/>
      <c r="ALF77" s="139"/>
      <c r="ALG77" s="139"/>
      <c r="ALH77" s="139"/>
      <c r="ALI77" s="139"/>
      <c r="ALJ77" s="139"/>
      <c r="ALK77" s="139"/>
      <c r="ALL77" s="139"/>
      <c r="ALM77" s="139"/>
      <c r="ALN77" s="139"/>
      <c r="ALO77" s="139"/>
      <c r="ALP77" s="139"/>
      <c r="ALQ77" s="139"/>
      <c r="ALR77" s="139"/>
      <c r="ALS77" s="139"/>
      <c r="ALT77" s="139"/>
      <c r="ALU77" s="139"/>
      <c r="ALV77" s="139"/>
      <c r="ALW77" s="139"/>
      <c r="ALX77" s="139"/>
      <c r="ALY77" s="139"/>
      <c r="ALZ77" s="139"/>
      <c r="AMA77" s="139"/>
      <c r="AMB77" s="139"/>
      <c r="AMC77" s="139"/>
      <c r="AMD77" s="139"/>
      <c r="AME77" s="139"/>
      <c r="AMF77" s="139"/>
      <c r="AMG77" s="139"/>
      <c r="AMH77" s="139"/>
      <c r="AMI77" s="139"/>
      <c r="AMJ77" s="139"/>
      <c r="AMK77" s="139"/>
      <c r="AML77" s="139"/>
      <c r="AMM77" s="139"/>
      <c r="AMN77" s="139"/>
      <c r="AMO77" s="139"/>
      <c r="AMP77" s="139"/>
      <c r="AMQ77" s="139"/>
      <c r="AMR77" s="139"/>
      <c r="AMS77" s="139"/>
      <c r="AMT77" s="139"/>
      <c r="AMU77" s="139"/>
      <c r="AMV77" s="139"/>
      <c r="AMW77" s="139"/>
      <c r="AMX77" s="139"/>
      <c r="AMY77" s="139"/>
      <c r="AMZ77" s="139"/>
      <c r="ANA77" s="139"/>
      <c r="ANB77" s="139"/>
      <c r="ANC77" s="139"/>
      <c r="AND77" s="139"/>
      <c r="ANE77" s="139"/>
      <c r="ANF77" s="139"/>
      <c r="ANG77" s="139"/>
      <c r="ANH77" s="139"/>
      <c r="ANI77" s="139"/>
      <c r="ANJ77" s="139"/>
      <c r="ANK77" s="139"/>
      <c r="ANL77" s="139"/>
      <c r="ANM77" s="139"/>
      <c r="ANN77" s="139"/>
      <c r="ANO77" s="139"/>
      <c r="ANP77" s="139"/>
      <c r="ANQ77" s="139"/>
      <c r="ANR77" s="139"/>
      <c r="ANS77" s="139"/>
      <c r="ANT77" s="139"/>
      <c r="ANU77" s="139"/>
      <c r="ANV77" s="139"/>
      <c r="ANW77" s="139"/>
      <c r="ANX77" s="139"/>
      <c r="ANY77" s="139"/>
      <c r="ANZ77" s="139"/>
      <c r="AOA77" s="139"/>
      <c r="AOB77" s="139"/>
      <c r="AOC77" s="139"/>
      <c r="AOD77" s="139"/>
      <c r="AOE77" s="139"/>
      <c r="AOF77" s="139"/>
      <c r="AOG77" s="139"/>
      <c r="AOH77" s="139"/>
      <c r="AOI77" s="139"/>
      <c r="AOJ77" s="139"/>
      <c r="AOK77" s="139"/>
      <c r="AOL77" s="139"/>
      <c r="AOM77" s="139"/>
      <c r="AON77" s="139"/>
      <c r="AOO77" s="139"/>
      <c r="AOP77" s="139"/>
      <c r="AOQ77" s="139"/>
      <c r="AOR77" s="139"/>
      <c r="AOS77" s="139"/>
      <c r="AOT77" s="139"/>
      <c r="AOU77" s="139"/>
      <c r="AOV77" s="139"/>
      <c r="AOW77" s="139"/>
      <c r="AOX77" s="139"/>
      <c r="AOY77" s="139"/>
      <c r="AOZ77" s="139"/>
      <c r="APA77" s="139"/>
      <c r="APB77" s="139"/>
      <c r="APC77" s="139"/>
      <c r="APD77" s="139"/>
      <c r="APE77" s="139"/>
      <c r="APF77" s="139"/>
      <c r="APG77" s="139"/>
      <c r="APH77" s="139"/>
      <c r="API77" s="139"/>
      <c r="APJ77" s="139"/>
      <c r="APK77" s="139"/>
      <c r="APL77" s="139"/>
      <c r="APM77" s="139"/>
      <c r="APN77" s="139"/>
      <c r="APO77" s="139"/>
      <c r="APP77" s="139"/>
      <c r="APQ77" s="139"/>
      <c r="APR77" s="139"/>
      <c r="APS77" s="139"/>
      <c r="APT77" s="139"/>
      <c r="APU77" s="139"/>
      <c r="APV77" s="139"/>
      <c r="APW77" s="139"/>
      <c r="APX77" s="139"/>
      <c r="APY77" s="139"/>
      <c r="APZ77" s="139"/>
      <c r="AQA77" s="139"/>
      <c r="AQB77" s="139"/>
      <c r="AQC77" s="139"/>
      <c r="AQD77" s="139"/>
      <c r="AQE77" s="139"/>
      <c r="AQF77" s="139"/>
      <c r="AQG77" s="139"/>
      <c r="AQH77" s="139"/>
      <c r="AQI77" s="139"/>
      <c r="AQJ77" s="139"/>
      <c r="AQK77" s="139"/>
      <c r="AQL77" s="139"/>
      <c r="AQM77" s="139"/>
      <c r="AQN77" s="139"/>
      <c r="AQO77" s="139"/>
      <c r="AQP77" s="139"/>
      <c r="AQQ77" s="139"/>
      <c r="AQR77" s="139"/>
      <c r="AQS77" s="139"/>
      <c r="AQT77" s="139"/>
      <c r="AQU77" s="139"/>
      <c r="AQV77" s="139"/>
      <c r="AQW77" s="139"/>
      <c r="AQX77" s="139"/>
      <c r="AQY77" s="139"/>
      <c r="AQZ77" s="139"/>
      <c r="ARA77" s="139"/>
      <c r="ARB77" s="139"/>
      <c r="ARC77" s="139"/>
      <c r="ARD77" s="139"/>
      <c r="ARE77" s="139"/>
      <c r="ARF77" s="139"/>
      <c r="ARG77" s="139"/>
      <c r="ARH77" s="139"/>
      <c r="ARI77" s="139"/>
      <c r="ARJ77" s="139"/>
      <c r="ARK77" s="139"/>
      <c r="ARL77" s="139"/>
      <c r="ARM77" s="139"/>
      <c r="ARN77" s="139"/>
      <c r="ARO77" s="139"/>
      <c r="ARP77" s="139"/>
      <c r="ARQ77" s="139"/>
      <c r="ARR77" s="139"/>
      <c r="ARS77" s="139"/>
      <c r="ART77" s="139"/>
      <c r="ARU77" s="139"/>
      <c r="ARV77" s="139"/>
      <c r="ARW77" s="139"/>
      <c r="ARX77" s="139"/>
      <c r="ARY77" s="139"/>
      <c r="ARZ77" s="139"/>
      <c r="ASA77" s="139"/>
      <c r="ASB77" s="139"/>
      <c r="ASC77" s="139"/>
      <c r="ASD77" s="139"/>
      <c r="ASE77" s="139"/>
      <c r="ASF77" s="139"/>
      <c r="ASG77" s="139"/>
      <c r="ASH77" s="139"/>
      <c r="ASI77" s="139"/>
      <c r="ASJ77" s="139"/>
      <c r="ASK77" s="139"/>
      <c r="ASL77" s="139"/>
      <c r="ASM77" s="139"/>
      <c r="ASN77" s="139"/>
      <c r="ASO77" s="139"/>
      <c r="ASP77" s="139"/>
      <c r="ASQ77" s="139"/>
      <c r="ASR77" s="139"/>
      <c r="ASS77" s="139"/>
      <c r="AST77" s="139"/>
      <c r="ASU77" s="139"/>
      <c r="ASV77" s="139"/>
      <c r="ASW77" s="139"/>
      <c r="ASX77" s="139"/>
      <c r="ASY77" s="139"/>
      <c r="ASZ77" s="139"/>
      <c r="ATA77" s="139"/>
      <c r="ATB77" s="139"/>
      <c r="ATC77" s="139"/>
      <c r="ATD77" s="139"/>
      <c r="ATE77" s="139"/>
      <c r="ATF77" s="139"/>
      <c r="ATG77" s="139"/>
      <c r="ATH77" s="139"/>
      <c r="ATI77" s="139"/>
      <c r="ATJ77" s="139"/>
      <c r="ATK77" s="139"/>
      <c r="ATL77" s="139"/>
      <c r="ATM77" s="139"/>
      <c r="ATN77" s="139"/>
      <c r="ATO77" s="139"/>
      <c r="ATP77" s="139"/>
      <c r="ATQ77" s="139"/>
      <c r="ATR77" s="139"/>
      <c r="ATS77" s="139"/>
      <c r="ATT77" s="139"/>
      <c r="ATU77" s="139"/>
      <c r="ATV77" s="139"/>
      <c r="ATW77" s="139"/>
      <c r="ATX77" s="139"/>
      <c r="ATY77" s="139"/>
      <c r="ATZ77" s="139"/>
      <c r="AUA77" s="139"/>
      <c r="AUB77" s="139"/>
      <c r="AUC77" s="139"/>
      <c r="AUD77" s="139"/>
      <c r="AUE77" s="139"/>
      <c r="AUF77" s="139"/>
      <c r="AUG77" s="139"/>
      <c r="AUH77" s="139"/>
      <c r="AUI77" s="139"/>
      <c r="AUJ77" s="139"/>
      <c r="AUK77" s="139"/>
      <c r="AUL77" s="139"/>
      <c r="AUM77" s="139"/>
      <c r="AUN77" s="139"/>
      <c r="AUO77" s="139"/>
      <c r="AUP77" s="139"/>
      <c r="AUQ77" s="139"/>
      <c r="AUR77" s="139"/>
      <c r="AUS77" s="139"/>
      <c r="AUT77" s="139"/>
      <c r="AUU77" s="139"/>
      <c r="AUV77" s="139"/>
      <c r="AUW77" s="139"/>
      <c r="AUX77" s="139"/>
      <c r="AUY77" s="139"/>
      <c r="AUZ77" s="139"/>
      <c r="AVA77" s="139"/>
      <c r="AVB77" s="139"/>
      <c r="AVC77" s="139"/>
      <c r="AVD77" s="139"/>
      <c r="AVE77" s="139"/>
      <c r="AVF77" s="139"/>
      <c r="AVG77" s="139"/>
      <c r="AVH77" s="139"/>
      <c r="AVI77" s="139"/>
      <c r="AVJ77" s="139"/>
      <c r="AVK77" s="139"/>
      <c r="AVL77" s="139"/>
      <c r="AVM77" s="139"/>
      <c r="AVN77" s="139"/>
      <c r="AVO77" s="139"/>
      <c r="AVP77" s="139"/>
      <c r="AVQ77" s="139"/>
      <c r="AVR77" s="139"/>
      <c r="AVS77" s="139"/>
      <c r="AVT77" s="139"/>
      <c r="AVU77" s="139"/>
      <c r="AVV77" s="139"/>
      <c r="AVW77" s="139"/>
      <c r="AVX77" s="139"/>
      <c r="AVY77" s="139"/>
      <c r="AVZ77" s="139"/>
      <c r="AWA77" s="139"/>
      <c r="AWB77" s="139"/>
      <c r="AWC77" s="139"/>
      <c r="AWD77" s="139"/>
      <c r="AWE77" s="139"/>
      <c r="AWF77" s="139"/>
      <c r="AWG77" s="139"/>
      <c r="AWH77" s="139"/>
      <c r="AWI77" s="139"/>
      <c r="AWJ77" s="139"/>
      <c r="AWK77" s="139"/>
      <c r="AWL77" s="139"/>
      <c r="AWM77" s="139"/>
      <c r="AWN77" s="139"/>
      <c r="AWO77" s="139"/>
      <c r="AWP77" s="139"/>
      <c r="AWQ77" s="139"/>
      <c r="AWR77" s="139"/>
      <c r="AWS77" s="139"/>
      <c r="AWT77" s="139"/>
      <c r="AWU77" s="139"/>
      <c r="AWV77" s="139"/>
      <c r="AWW77" s="139"/>
      <c r="AWX77" s="139"/>
      <c r="AWY77" s="139"/>
      <c r="AWZ77" s="139"/>
      <c r="AXA77" s="139"/>
      <c r="AXB77" s="139"/>
      <c r="AXC77" s="139"/>
      <c r="AXD77" s="139"/>
      <c r="AXE77" s="139"/>
      <c r="AXF77" s="139"/>
      <c r="AXG77" s="139"/>
      <c r="AXH77" s="139"/>
      <c r="AXI77" s="139"/>
      <c r="AXJ77" s="139"/>
      <c r="AXK77" s="139"/>
      <c r="AXL77" s="139"/>
      <c r="AXM77" s="139"/>
      <c r="AXN77" s="139"/>
      <c r="AXO77" s="139"/>
      <c r="AXP77" s="139"/>
      <c r="AXQ77" s="139"/>
      <c r="AXR77" s="139"/>
      <c r="AXS77" s="139"/>
      <c r="AXT77" s="139"/>
      <c r="AXU77" s="139"/>
      <c r="AXV77" s="139"/>
      <c r="AXW77" s="139"/>
      <c r="AXX77" s="139"/>
      <c r="AXY77" s="139"/>
      <c r="AXZ77" s="139"/>
      <c r="AYA77" s="139"/>
      <c r="AYB77" s="139"/>
      <c r="AYC77" s="139"/>
      <c r="AYD77" s="139"/>
      <c r="AYE77" s="139"/>
      <c r="AYF77" s="139"/>
      <c r="AYG77" s="139"/>
      <c r="AYH77" s="139"/>
      <c r="AYI77" s="139"/>
      <c r="AYJ77" s="139"/>
      <c r="AYK77" s="139"/>
      <c r="AYL77" s="139"/>
      <c r="AYM77" s="139"/>
      <c r="AYN77" s="139"/>
      <c r="AYO77" s="139"/>
      <c r="AYP77" s="139"/>
      <c r="AYQ77" s="139"/>
      <c r="AYR77" s="139"/>
      <c r="AYS77" s="139"/>
      <c r="AYT77" s="139"/>
      <c r="AYU77" s="139"/>
      <c r="AYV77" s="139"/>
      <c r="AYW77" s="139"/>
      <c r="AYX77" s="139"/>
      <c r="AYY77" s="139"/>
      <c r="AYZ77" s="139"/>
      <c r="AZA77" s="139"/>
      <c r="AZB77" s="139"/>
      <c r="AZC77" s="139"/>
      <c r="AZD77" s="139"/>
      <c r="AZE77" s="139"/>
      <c r="AZF77" s="139"/>
      <c r="AZG77" s="139"/>
      <c r="AZH77" s="139"/>
      <c r="AZI77" s="139"/>
      <c r="AZJ77" s="139"/>
      <c r="AZK77" s="139"/>
      <c r="AZL77" s="139"/>
      <c r="AZM77" s="139"/>
      <c r="AZN77" s="139"/>
      <c r="AZO77" s="139"/>
      <c r="AZP77" s="139"/>
      <c r="AZQ77" s="139"/>
      <c r="AZR77" s="139"/>
      <c r="AZS77" s="139"/>
      <c r="AZT77" s="139"/>
      <c r="AZU77" s="139"/>
      <c r="AZV77" s="139"/>
      <c r="AZW77" s="139"/>
      <c r="AZX77" s="139"/>
      <c r="AZY77" s="139"/>
      <c r="AZZ77" s="139"/>
      <c r="BAA77" s="139"/>
      <c r="BAB77" s="139"/>
      <c r="BAC77" s="139"/>
      <c r="BAD77" s="139"/>
      <c r="BAE77" s="139"/>
      <c r="BAF77" s="139"/>
      <c r="BAG77" s="139"/>
      <c r="BAH77" s="139"/>
      <c r="BAI77" s="139"/>
      <c r="BAJ77" s="139"/>
      <c r="BAK77" s="139"/>
      <c r="BAL77" s="139"/>
      <c r="BAM77" s="139"/>
      <c r="BAN77" s="139"/>
      <c r="BAO77" s="139"/>
      <c r="BAP77" s="139"/>
      <c r="BAQ77" s="139"/>
      <c r="BAR77" s="139"/>
      <c r="BAS77" s="139"/>
      <c r="BAT77" s="139"/>
      <c r="BAU77" s="139"/>
      <c r="BAV77" s="139"/>
      <c r="BAW77" s="139"/>
      <c r="BAX77" s="139"/>
      <c r="BAY77" s="139"/>
      <c r="BAZ77" s="139"/>
      <c r="BBA77" s="139"/>
      <c r="BBB77" s="139"/>
      <c r="BBC77" s="139"/>
      <c r="BBD77" s="139"/>
      <c r="BBE77" s="139"/>
      <c r="BBF77" s="139"/>
      <c r="BBG77" s="139"/>
      <c r="BBH77" s="139"/>
      <c r="BBI77" s="139"/>
      <c r="BBJ77" s="139"/>
      <c r="BBK77" s="139"/>
      <c r="BBL77" s="139"/>
      <c r="BBM77" s="139"/>
      <c r="BBN77" s="139"/>
      <c r="BBO77" s="139"/>
      <c r="BBP77" s="139"/>
      <c r="BBQ77" s="139"/>
      <c r="BBR77" s="139"/>
      <c r="BBS77" s="139"/>
      <c r="BBT77" s="139"/>
      <c r="BBU77" s="139"/>
      <c r="BBV77" s="139"/>
      <c r="BBW77" s="139"/>
      <c r="BBX77" s="139"/>
      <c r="BBY77" s="139"/>
      <c r="BBZ77" s="139"/>
      <c r="BCA77" s="139"/>
      <c r="BCB77" s="139"/>
      <c r="BCC77" s="139"/>
      <c r="BCD77" s="139"/>
      <c r="BCE77" s="139"/>
      <c r="BCF77" s="139"/>
      <c r="BCG77" s="139"/>
      <c r="BCH77" s="139"/>
      <c r="BCI77" s="139"/>
      <c r="BCJ77" s="139"/>
      <c r="BCK77" s="139"/>
      <c r="BCL77" s="139"/>
      <c r="BCM77" s="139"/>
      <c r="BCN77" s="139"/>
      <c r="BCO77" s="139"/>
      <c r="BCP77" s="139"/>
      <c r="BCQ77" s="139"/>
      <c r="BCR77" s="139"/>
      <c r="BCS77" s="139"/>
      <c r="BCT77" s="139"/>
      <c r="BCU77" s="139"/>
      <c r="BCV77" s="139"/>
      <c r="BCW77" s="139"/>
      <c r="BCX77" s="139"/>
      <c r="BCY77" s="139"/>
      <c r="BCZ77" s="139"/>
      <c r="BDA77" s="139"/>
      <c r="BDB77" s="139"/>
      <c r="BDC77" s="139"/>
      <c r="BDD77" s="139"/>
      <c r="BDE77" s="139"/>
      <c r="BDF77" s="139"/>
      <c r="BDG77" s="139"/>
      <c r="BDH77" s="139"/>
      <c r="BDI77" s="139"/>
      <c r="BDJ77" s="139"/>
      <c r="BDK77" s="139"/>
      <c r="BDL77" s="139"/>
      <c r="BDM77" s="139"/>
      <c r="BDN77" s="139"/>
      <c r="BDO77" s="139"/>
      <c r="BDP77" s="139"/>
      <c r="BDQ77" s="139"/>
      <c r="BDR77" s="139"/>
      <c r="BDS77" s="139"/>
      <c r="BDT77" s="139"/>
      <c r="BDU77" s="139"/>
      <c r="BDV77" s="139"/>
      <c r="BDW77" s="139"/>
      <c r="BDX77" s="139"/>
      <c r="BDY77" s="139"/>
      <c r="BDZ77" s="139"/>
      <c r="BEA77" s="139"/>
      <c r="BEB77" s="139"/>
      <c r="BEC77" s="139"/>
      <c r="BED77" s="139"/>
      <c r="BEE77" s="139"/>
      <c r="BEF77" s="139"/>
      <c r="BEG77" s="139"/>
      <c r="BEH77" s="139"/>
      <c r="BEI77" s="139"/>
      <c r="BEJ77" s="139"/>
      <c r="BEK77" s="139"/>
      <c r="BEL77" s="139"/>
      <c r="BEM77" s="139"/>
      <c r="BEN77" s="139"/>
      <c r="BEO77" s="139"/>
      <c r="BEP77" s="139"/>
      <c r="BEQ77" s="139"/>
      <c r="BER77" s="139"/>
      <c r="BES77" s="139"/>
      <c r="BET77" s="139"/>
      <c r="BEU77" s="139"/>
      <c r="BEV77" s="139"/>
      <c r="BEW77" s="139"/>
      <c r="BEX77" s="139"/>
      <c r="BEY77" s="139"/>
      <c r="BEZ77" s="139"/>
      <c r="BFA77" s="139"/>
      <c r="BFB77" s="139"/>
      <c r="BFC77" s="139"/>
      <c r="BFD77" s="139"/>
      <c r="BFE77" s="139"/>
      <c r="BFF77" s="139"/>
      <c r="BFG77" s="139"/>
      <c r="BFH77" s="139"/>
      <c r="BFI77" s="139"/>
      <c r="BFJ77" s="139"/>
      <c r="BFK77" s="139"/>
      <c r="BFL77" s="139"/>
      <c r="BFM77" s="139"/>
      <c r="BFN77" s="139"/>
      <c r="BFO77" s="139"/>
      <c r="BFP77" s="139"/>
      <c r="BFQ77" s="139"/>
      <c r="BFR77" s="139"/>
      <c r="BFS77" s="139"/>
      <c r="BFT77" s="139"/>
      <c r="BFU77" s="139"/>
      <c r="BFV77" s="139"/>
      <c r="BFW77" s="139"/>
      <c r="BFX77" s="139"/>
      <c r="BFY77" s="139"/>
      <c r="BFZ77" s="139"/>
      <c r="BGA77" s="139"/>
      <c r="BGB77" s="139"/>
      <c r="BGC77" s="139"/>
      <c r="BGD77" s="139"/>
      <c r="BGE77" s="139"/>
      <c r="BGF77" s="139"/>
      <c r="BGG77" s="139"/>
      <c r="BGH77" s="139"/>
      <c r="BGI77" s="139"/>
      <c r="BGJ77" s="139"/>
      <c r="BGK77" s="139"/>
      <c r="BGL77" s="139"/>
      <c r="BGM77" s="139"/>
      <c r="BGN77" s="139"/>
      <c r="BGO77" s="139"/>
      <c r="BGP77" s="139"/>
      <c r="BGQ77" s="139"/>
      <c r="BGR77" s="139"/>
      <c r="BGS77" s="139"/>
      <c r="BGT77" s="139"/>
      <c r="BGU77" s="139"/>
      <c r="BGV77" s="139"/>
      <c r="BGW77" s="139"/>
      <c r="BGX77" s="139"/>
      <c r="BGY77" s="139"/>
      <c r="BGZ77" s="139"/>
      <c r="BHA77" s="139"/>
      <c r="BHB77" s="139"/>
      <c r="BHC77" s="139"/>
      <c r="BHD77" s="139"/>
      <c r="BHE77" s="139"/>
      <c r="BHF77" s="139"/>
      <c r="BHG77" s="139"/>
      <c r="BHH77" s="139"/>
      <c r="BHI77" s="139"/>
      <c r="BHJ77" s="139"/>
      <c r="BHK77" s="139"/>
      <c r="BHL77" s="139"/>
      <c r="BHM77" s="139"/>
      <c r="BHN77" s="139"/>
      <c r="BHO77" s="139"/>
      <c r="BHP77" s="139"/>
      <c r="BHQ77" s="139"/>
      <c r="BHR77" s="139"/>
      <c r="BHS77" s="139"/>
      <c r="BHT77" s="139"/>
      <c r="BHU77" s="139"/>
      <c r="BHV77" s="139"/>
      <c r="BHW77" s="139"/>
      <c r="BHX77" s="139"/>
      <c r="BHY77" s="139"/>
      <c r="BHZ77" s="139"/>
      <c r="BIA77" s="139"/>
      <c r="BIB77" s="139"/>
      <c r="BIC77" s="139"/>
      <c r="BID77" s="139"/>
      <c r="BIE77" s="139"/>
      <c r="BIF77" s="139"/>
      <c r="BIG77" s="139"/>
      <c r="BIH77" s="139"/>
      <c r="BII77" s="139"/>
      <c r="BIJ77" s="139"/>
      <c r="BIK77" s="139"/>
      <c r="BIL77" s="139"/>
      <c r="BIM77" s="139"/>
      <c r="BIN77" s="139"/>
      <c r="BIO77" s="139"/>
      <c r="BIP77" s="139"/>
      <c r="BIQ77" s="139"/>
      <c r="BIR77" s="139"/>
      <c r="BIS77" s="139"/>
      <c r="BIT77" s="139"/>
      <c r="BIU77" s="139"/>
      <c r="BIV77" s="139"/>
      <c r="BIW77" s="139"/>
      <c r="BIX77" s="139"/>
      <c r="BIY77" s="139"/>
      <c r="BIZ77" s="139"/>
      <c r="BJA77" s="139"/>
      <c r="BJB77" s="139"/>
      <c r="BJC77" s="139"/>
      <c r="BJD77" s="139"/>
      <c r="BJE77" s="139"/>
      <c r="BJF77" s="139"/>
      <c r="BJG77" s="139"/>
      <c r="BJH77" s="139"/>
      <c r="BJI77" s="139"/>
      <c r="BJJ77" s="139"/>
      <c r="BJK77" s="139"/>
      <c r="BJL77" s="139"/>
      <c r="BJM77" s="139"/>
      <c r="BJN77" s="139"/>
      <c r="BJO77" s="139"/>
      <c r="BJP77" s="139"/>
      <c r="BJQ77" s="139"/>
      <c r="BJR77" s="139"/>
      <c r="BJS77" s="139"/>
      <c r="BJT77" s="139"/>
      <c r="BJU77" s="139"/>
      <c r="BJV77" s="139"/>
      <c r="BJW77" s="139"/>
      <c r="BJX77" s="139"/>
      <c r="BJY77" s="139"/>
      <c r="BJZ77" s="139"/>
      <c r="BKA77" s="139"/>
      <c r="BKB77" s="139"/>
      <c r="BKC77" s="139"/>
      <c r="BKD77" s="139"/>
      <c r="BKE77" s="139"/>
      <c r="BKF77" s="139"/>
      <c r="BKG77" s="139"/>
      <c r="BKH77" s="139"/>
      <c r="BKI77" s="139"/>
      <c r="BKJ77" s="139"/>
      <c r="BKK77" s="139"/>
      <c r="BKL77" s="139"/>
      <c r="BKM77" s="139"/>
      <c r="BKN77" s="139"/>
      <c r="BKO77" s="139"/>
      <c r="BKP77" s="139"/>
      <c r="BKQ77" s="139"/>
      <c r="BKR77" s="139"/>
      <c r="BKS77" s="139"/>
      <c r="BKT77" s="139"/>
      <c r="BKU77" s="139"/>
      <c r="BKV77" s="139"/>
      <c r="BKW77" s="139"/>
      <c r="BKX77" s="139"/>
      <c r="BKY77" s="139"/>
      <c r="BKZ77" s="139"/>
      <c r="BLA77" s="139"/>
      <c r="BLB77" s="139"/>
      <c r="BLC77" s="139"/>
      <c r="BLD77" s="139"/>
      <c r="BLE77" s="139"/>
      <c r="BLF77" s="139"/>
      <c r="BLG77" s="139"/>
      <c r="BLH77" s="139"/>
      <c r="BLI77" s="139"/>
      <c r="BLJ77" s="139"/>
      <c r="BLK77" s="139"/>
      <c r="BLL77" s="139"/>
      <c r="BLM77" s="139"/>
      <c r="BLN77" s="139"/>
      <c r="BLO77" s="139"/>
      <c r="BLP77" s="139"/>
      <c r="BLQ77" s="139"/>
      <c r="BLR77" s="139"/>
      <c r="BLS77" s="139"/>
      <c r="BLT77" s="139"/>
      <c r="BLU77" s="139"/>
      <c r="BLV77" s="139"/>
      <c r="BLW77" s="139"/>
      <c r="BLX77" s="139"/>
      <c r="BLY77" s="139"/>
      <c r="BLZ77" s="139"/>
      <c r="BMA77" s="139"/>
      <c r="BMB77" s="139"/>
      <c r="BMC77" s="139"/>
      <c r="BMD77" s="139"/>
      <c r="BME77" s="139"/>
      <c r="BMF77" s="139"/>
      <c r="BMG77" s="139"/>
      <c r="BMH77" s="139"/>
      <c r="BMI77" s="139"/>
      <c r="BMJ77" s="139"/>
      <c r="BMK77" s="139"/>
      <c r="BML77" s="139"/>
      <c r="BMM77" s="139"/>
      <c r="BMN77" s="139"/>
      <c r="BMO77" s="139"/>
      <c r="BMP77" s="139"/>
      <c r="BMQ77" s="139"/>
      <c r="BMR77" s="139"/>
      <c r="BMS77" s="139"/>
      <c r="BMT77" s="139"/>
      <c r="BMU77" s="139"/>
      <c r="BMV77" s="139"/>
      <c r="BMW77" s="139"/>
      <c r="BMX77" s="139"/>
      <c r="BMY77" s="139"/>
      <c r="BMZ77" s="139"/>
      <c r="BNA77" s="139"/>
      <c r="BNB77" s="139"/>
      <c r="BNC77" s="139"/>
      <c r="BND77" s="139"/>
      <c r="BNE77" s="139"/>
      <c r="BNF77" s="139"/>
      <c r="BNG77" s="139"/>
      <c r="BNH77" s="139"/>
      <c r="BNI77" s="139"/>
      <c r="BNJ77" s="139"/>
      <c r="BNK77" s="139"/>
      <c r="BNL77" s="139"/>
      <c r="BNM77" s="139"/>
      <c r="BNN77" s="139"/>
      <c r="BNO77" s="139"/>
      <c r="BNP77" s="139"/>
      <c r="BNQ77" s="139"/>
      <c r="BNR77" s="139"/>
      <c r="BNS77" s="139"/>
      <c r="BNT77" s="139"/>
      <c r="BNU77" s="139"/>
      <c r="BNV77" s="139"/>
      <c r="BNW77" s="139"/>
      <c r="BNX77" s="139"/>
      <c r="BNY77" s="139"/>
      <c r="BNZ77" s="139"/>
      <c r="BOA77" s="139"/>
      <c r="BOB77" s="139"/>
      <c r="BOC77" s="139"/>
      <c r="BOD77" s="139"/>
      <c r="BOE77" s="139"/>
      <c r="BOF77" s="139"/>
      <c r="BOG77" s="139"/>
      <c r="BOH77" s="139"/>
      <c r="BOI77" s="139"/>
      <c r="BOJ77" s="139"/>
      <c r="BOK77" s="139"/>
      <c r="BOL77" s="139"/>
      <c r="BOM77" s="139"/>
      <c r="BON77" s="139"/>
      <c r="BOO77" s="139"/>
      <c r="BOP77" s="139"/>
      <c r="BOQ77" s="139"/>
      <c r="BOR77" s="139"/>
      <c r="BOS77" s="139"/>
      <c r="BOT77" s="139"/>
      <c r="BOU77" s="139"/>
      <c r="BOV77" s="139"/>
      <c r="BOW77" s="139"/>
      <c r="BOX77" s="139"/>
      <c r="BOY77" s="139"/>
      <c r="BOZ77" s="139"/>
      <c r="BPA77" s="139"/>
      <c r="BPB77" s="139"/>
      <c r="BPC77" s="139"/>
      <c r="BPD77" s="139"/>
      <c r="BPE77" s="139"/>
      <c r="BPF77" s="139"/>
      <c r="BPG77" s="139"/>
      <c r="BPH77" s="139"/>
      <c r="BPI77" s="139"/>
      <c r="BPJ77" s="139"/>
      <c r="BPK77" s="139"/>
      <c r="BPL77" s="139"/>
      <c r="BPM77" s="139"/>
      <c r="BPN77" s="139"/>
      <c r="BPO77" s="139"/>
      <c r="BPP77" s="139"/>
      <c r="BPQ77" s="139"/>
      <c r="BPR77" s="139"/>
      <c r="BPS77" s="139"/>
      <c r="BPT77" s="139"/>
      <c r="BPU77" s="139"/>
      <c r="BPV77" s="139"/>
      <c r="BPW77" s="139"/>
      <c r="BPX77" s="139"/>
      <c r="BPY77" s="139"/>
      <c r="BPZ77" s="139"/>
      <c r="BQA77" s="139"/>
      <c r="BQB77" s="139"/>
      <c r="BQC77" s="139"/>
      <c r="BQD77" s="139"/>
      <c r="BQE77" s="139"/>
      <c r="BQF77" s="139"/>
      <c r="BQG77" s="139"/>
      <c r="BQH77" s="139"/>
      <c r="BQI77" s="139"/>
      <c r="BQJ77" s="139"/>
      <c r="BQK77" s="139"/>
      <c r="BQL77" s="139"/>
      <c r="BQM77" s="139"/>
      <c r="BQN77" s="139"/>
      <c r="BQO77" s="139"/>
      <c r="BQP77" s="139"/>
      <c r="BQQ77" s="139"/>
      <c r="BQR77" s="139"/>
      <c r="BQS77" s="139"/>
      <c r="BQT77" s="139"/>
      <c r="BQU77" s="139"/>
      <c r="BQV77" s="139"/>
      <c r="BQW77" s="139"/>
      <c r="BQX77" s="139"/>
      <c r="BQY77" s="139"/>
      <c r="BQZ77" s="139"/>
      <c r="BRA77" s="139"/>
      <c r="BRB77" s="139"/>
      <c r="BRC77" s="139"/>
      <c r="BRD77" s="139"/>
      <c r="BRE77" s="139"/>
      <c r="BRF77" s="139"/>
      <c r="BRG77" s="139"/>
      <c r="BRH77" s="139"/>
      <c r="BRI77" s="139"/>
      <c r="BRJ77" s="139"/>
      <c r="BRK77" s="139"/>
      <c r="BRL77" s="139"/>
      <c r="BRM77" s="139"/>
      <c r="BRN77" s="139"/>
      <c r="BRO77" s="139"/>
      <c r="BRP77" s="139"/>
      <c r="BRQ77" s="139"/>
      <c r="BRR77" s="139"/>
      <c r="BRS77" s="139"/>
      <c r="BRT77" s="139"/>
      <c r="BRU77" s="139"/>
      <c r="BRV77" s="139"/>
      <c r="BRW77" s="139"/>
      <c r="BRX77" s="139"/>
      <c r="BRY77" s="139"/>
      <c r="BRZ77" s="139"/>
      <c r="BSA77" s="139"/>
      <c r="BSB77" s="139"/>
      <c r="BSC77" s="139"/>
      <c r="BSD77" s="139"/>
      <c r="BSE77" s="139"/>
      <c r="BSF77" s="139"/>
      <c r="BSG77" s="139"/>
      <c r="BSH77" s="139"/>
      <c r="BSI77" s="139"/>
      <c r="BSJ77" s="139"/>
      <c r="BSK77" s="139"/>
      <c r="BSL77" s="139"/>
      <c r="BSM77" s="139"/>
      <c r="BSN77" s="139"/>
      <c r="BSO77" s="139"/>
      <c r="BSP77" s="139"/>
      <c r="BSQ77" s="139"/>
      <c r="BSR77" s="139"/>
      <c r="BSS77" s="139"/>
      <c r="BST77" s="139"/>
      <c r="BSU77" s="139"/>
      <c r="BSV77" s="139"/>
      <c r="BSW77" s="139"/>
      <c r="BSX77" s="139"/>
      <c r="BSY77" s="139"/>
      <c r="BSZ77" s="139"/>
      <c r="BTA77" s="139"/>
      <c r="BTB77" s="139"/>
      <c r="BTC77" s="139"/>
      <c r="BTD77" s="139"/>
      <c r="BTE77" s="139"/>
      <c r="BTF77" s="139"/>
      <c r="BTG77" s="139"/>
      <c r="BTH77" s="139"/>
      <c r="BTI77" s="139"/>
      <c r="BTJ77" s="139"/>
      <c r="BTK77" s="139"/>
      <c r="BTL77" s="139"/>
      <c r="BTM77" s="139"/>
      <c r="BTN77" s="139"/>
      <c r="BTO77" s="139"/>
      <c r="BTP77" s="139"/>
      <c r="BTQ77" s="139"/>
      <c r="BTR77" s="139"/>
      <c r="BTS77" s="139"/>
      <c r="BTT77" s="139"/>
      <c r="BTU77" s="139"/>
      <c r="BTV77" s="139"/>
      <c r="BTW77" s="139"/>
      <c r="BTX77" s="139"/>
      <c r="BTY77" s="139"/>
      <c r="BTZ77" s="139"/>
      <c r="BUA77" s="139"/>
      <c r="BUB77" s="139"/>
      <c r="BUC77" s="139"/>
      <c r="BUD77" s="139"/>
      <c r="BUE77" s="139"/>
      <c r="BUF77" s="139"/>
      <c r="BUG77" s="139"/>
      <c r="BUH77" s="139"/>
      <c r="BUI77" s="139"/>
      <c r="BUJ77" s="139"/>
      <c r="BUK77" s="139"/>
      <c r="BUL77" s="139"/>
      <c r="BUM77" s="139"/>
      <c r="BUN77" s="139"/>
      <c r="BUO77" s="139"/>
      <c r="BUP77" s="139"/>
      <c r="BUQ77" s="139"/>
      <c r="BUR77" s="139"/>
      <c r="BUS77" s="139"/>
      <c r="BUT77" s="139"/>
      <c r="BUU77" s="139"/>
      <c r="BUV77" s="139"/>
      <c r="BUW77" s="139"/>
      <c r="BUX77" s="139"/>
      <c r="BUY77" s="139"/>
      <c r="BUZ77" s="139"/>
      <c r="BVA77" s="139"/>
      <c r="BVB77" s="139"/>
      <c r="BVC77" s="139"/>
      <c r="BVD77" s="139"/>
      <c r="BVE77" s="139"/>
      <c r="BVF77" s="139"/>
      <c r="BVG77" s="139"/>
      <c r="BVH77" s="139"/>
      <c r="BVI77" s="139"/>
      <c r="BVJ77" s="139"/>
      <c r="BVK77" s="139"/>
      <c r="BVL77" s="139"/>
      <c r="BVM77" s="139"/>
      <c r="BVN77" s="139"/>
      <c r="BVO77" s="139"/>
      <c r="BVP77" s="139"/>
      <c r="BVQ77" s="139"/>
      <c r="BVR77" s="139"/>
      <c r="BVS77" s="139"/>
      <c r="BVT77" s="139"/>
      <c r="BVU77" s="139"/>
      <c r="BVV77" s="139"/>
      <c r="BVW77" s="139"/>
      <c r="BVX77" s="139"/>
      <c r="BVY77" s="139"/>
      <c r="BVZ77" s="139"/>
      <c r="BWA77" s="139"/>
      <c r="BWB77" s="139"/>
      <c r="BWC77" s="139"/>
      <c r="BWD77" s="139"/>
      <c r="BWE77" s="139"/>
      <c r="BWF77" s="139"/>
      <c r="BWG77" s="139"/>
      <c r="BWH77" s="139"/>
      <c r="BWI77" s="139"/>
      <c r="BWJ77" s="139"/>
      <c r="BWK77" s="139"/>
      <c r="BWL77" s="139"/>
      <c r="BWM77" s="139"/>
      <c r="BWN77" s="139"/>
      <c r="BWO77" s="139"/>
      <c r="BWP77" s="139"/>
      <c r="BWQ77" s="139"/>
      <c r="BWR77" s="139"/>
      <c r="BWS77" s="139"/>
      <c r="BWT77" s="139"/>
      <c r="BWU77" s="139"/>
      <c r="BWV77" s="139"/>
      <c r="BWW77" s="139"/>
      <c r="BWX77" s="139"/>
      <c r="BWY77" s="139"/>
      <c r="BWZ77" s="139"/>
      <c r="BXA77" s="139"/>
      <c r="BXB77" s="139"/>
      <c r="BXC77" s="139"/>
      <c r="BXD77" s="139"/>
      <c r="BXE77" s="139"/>
      <c r="BXF77" s="139"/>
      <c r="BXG77" s="139"/>
      <c r="BXH77" s="139"/>
      <c r="BXI77" s="139"/>
      <c r="BXJ77" s="139"/>
      <c r="BXK77" s="139"/>
      <c r="BXL77" s="139"/>
      <c r="BXM77" s="139"/>
      <c r="BXN77" s="139"/>
      <c r="BXO77" s="139"/>
      <c r="BXP77" s="139"/>
      <c r="BXQ77" s="139"/>
      <c r="BXR77" s="139"/>
      <c r="BXS77" s="139"/>
      <c r="BXT77" s="139"/>
      <c r="BXU77" s="139"/>
      <c r="BXV77" s="139"/>
      <c r="BXW77" s="139"/>
      <c r="BXX77" s="139"/>
      <c r="BXY77" s="139"/>
      <c r="BXZ77" s="139"/>
      <c r="BYA77" s="139"/>
      <c r="BYB77" s="139"/>
      <c r="BYC77" s="139"/>
      <c r="BYD77" s="139"/>
      <c r="BYE77" s="139"/>
      <c r="BYF77" s="139"/>
      <c r="BYG77" s="139"/>
      <c r="BYH77" s="139"/>
      <c r="BYI77" s="139"/>
      <c r="BYJ77" s="139"/>
      <c r="BYK77" s="139"/>
      <c r="BYL77" s="139"/>
      <c r="BYM77" s="139"/>
      <c r="BYN77" s="139"/>
      <c r="BYO77" s="139"/>
      <c r="BYP77" s="139"/>
      <c r="BYQ77" s="139"/>
      <c r="BYR77" s="139"/>
      <c r="BYS77" s="139"/>
      <c r="BYT77" s="139"/>
      <c r="BYU77" s="139"/>
      <c r="BYV77" s="139"/>
      <c r="BYW77" s="139"/>
      <c r="BYX77" s="139"/>
      <c r="BYY77" s="139"/>
      <c r="BYZ77" s="139"/>
      <c r="BZA77" s="139"/>
      <c r="BZB77" s="139"/>
      <c r="BZC77" s="139"/>
      <c r="BZD77" s="139"/>
      <c r="BZE77" s="139"/>
      <c r="BZF77" s="139"/>
      <c r="BZG77" s="139"/>
      <c r="BZH77" s="139"/>
      <c r="BZI77" s="139"/>
      <c r="BZJ77" s="139"/>
      <c r="BZK77" s="139"/>
      <c r="BZL77" s="139"/>
      <c r="BZM77" s="139"/>
      <c r="BZN77" s="139"/>
      <c r="BZO77" s="139"/>
      <c r="BZP77" s="139"/>
      <c r="BZQ77" s="139"/>
      <c r="BZR77" s="139"/>
      <c r="BZS77" s="139"/>
      <c r="BZT77" s="139"/>
      <c r="BZU77" s="139"/>
      <c r="BZV77" s="139"/>
      <c r="BZW77" s="139"/>
      <c r="BZX77" s="139"/>
      <c r="BZY77" s="139"/>
      <c r="BZZ77" s="139"/>
      <c r="CAA77" s="139"/>
      <c r="CAB77" s="139"/>
      <c r="CAC77" s="139"/>
      <c r="CAD77" s="139"/>
      <c r="CAE77" s="139"/>
      <c r="CAF77" s="139"/>
      <c r="CAG77" s="139"/>
      <c r="CAH77" s="139"/>
      <c r="CAI77" s="139"/>
      <c r="CAJ77" s="139"/>
      <c r="CAK77" s="139"/>
      <c r="CAL77" s="139"/>
      <c r="CAM77" s="139"/>
      <c r="CAN77" s="139"/>
      <c r="CAO77" s="139"/>
      <c r="CAP77" s="139"/>
      <c r="CAQ77" s="139"/>
      <c r="CAR77" s="139"/>
      <c r="CAS77" s="139"/>
      <c r="CAT77" s="139"/>
      <c r="CAU77" s="139"/>
      <c r="CAV77" s="139"/>
      <c r="CAW77" s="139"/>
      <c r="CAX77" s="139"/>
      <c r="CAY77" s="139"/>
      <c r="CAZ77" s="139"/>
      <c r="CBA77" s="139"/>
      <c r="CBB77" s="139"/>
      <c r="CBC77" s="139"/>
      <c r="CBD77" s="139"/>
      <c r="CBE77" s="139"/>
      <c r="CBF77" s="139"/>
      <c r="CBG77" s="139"/>
      <c r="CBH77" s="139"/>
      <c r="CBI77" s="139"/>
      <c r="CBJ77" s="139"/>
      <c r="CBK77" s="139"/>
      <c r="CBL77" s="139"/>
      <c r="CBM77" s="139"/>
      <c r="CBN77" s="139"/>
      <c r="CBO77" s="139"/>
      <c r="CBP77" s="139"/>
      <c r="CBQ77" s="139"/>
      <c r="CBR77" s="139"/>
      <c r="CBS77" s="139"/>
      <c r="CBT77" s="139"/>
      <c r="CBU77" s="139"/>
      <c r="CBV77" s="139"/>
      <c r="CBW77" s="139"/>
      <c r="CBX77" s="139"/>
      <c r="CBY77" s="139"/>
      <c r="CBZ77" s="139"/>
      <c r="CCA77" s="139"/>
      <c r="CCB77" s="139"/>
      <c r="CCC77" s="139"/>
      <c r="CCD77" s="139"/>
      <c r="CCE77" s="139"/>
      <c r="CCF77" s="139"/>
      <c r="CCG77" s="139"/>
      <c r="CCH77" s="139"/>
      <c r="CCI77" s="139"/>
      <c r="CCJ77" s="139"/>
      <c r="CCK77" s="139"/>
      <c r="CCL77" s="139"/>
      <c r="CCM77" s="139"/>
      <c r="CCN77" s="139"/>
      <c r="CCO77" s="139"/>
      <c r="CCP77" s="139"/>
      <c r="CCQ77" s="139"/>
      <c r="CCR77" s="139"/>
      <c r="CCS77" s="139"/>
      <c r="CCT77" s="139"/>
      <c r="CCU77" s="139"/>
      <c r="CCV77" s="139"/>
      <c r="CCW77" s="139"/>
      <c r="CCX77" s="139"/>
      <c r="CCY77" s="139"/>
      <c r="CCZ77" s="139"/>
      <c r="CDA77" s="139"/>
      <c r="CDB77" s="139"/>
      <c r="CDC77" s="139"/>
      <c r="CDD77" s="139"/>
      <c r="CDE77" s="139"/>
      <c r="CDF77" s="139"/>
      <c r="CDG77" s="139"/>
      <c r="CDH77" s="139"/>
      <c r="CDI77" s="139"/>
      <c r="CDJ77" s="139"/>
      <c r="CDK77" s="139"/>
      <c r="CDL77" s="139"/>
      <c r="CDM77" s="139"/>
      <c r="CDN77" s="139"/>
      <c r="CDO77" s="139"/>
      <c r="CDP77" s="139"/>
      <c r="CDQ77" s="139"/>
      <c r="CDR77" s="139"/>
      <c r="CDS77" s="139"/>
      <c r="CDT77" s="139"/>
      <c r="CDU77" s="139"/>
      <c r="CDV77" s="139"/>
      <c r="CDW77" s="139"/>
      <c r="CDX77" s="139"/>
      <c r="CDY77" s="139"/>
      <c r="CDZ77" s="139"/>
      <c r="CEA77" s="139"/>
      <c r="CEB77" s="139"/>
      <c r="CEC77" s="139"/>
      <c r="CED77" s="139"/>
      <c r="CEE77" s="139"/>
      <c r="CEF77" s="139"/>
      <c r="CEG77" s="139"/>
      <c r="CEH77" s="139"/>
      <c r="CEI77" s="139"/>
      <c r="CEJ77" s="139"/>
      <c r="CEK77" s="139"/>
      <c r="CEL77" s="139"/>
      <c r="CEM77" s="139"/>
      <c r="CEN77" s="139"/>
      <c r="CEO77" s="139"/>
      <c r="CEP77" s="139"/>
      <c r="CEQ77" s="139"/>
      <c r="CER77" s="139"/>
      <c r="CES77" s="139"/>
      <c r="CET77" s="139"/>
      <c r="CEU77" s="139"/>
      <c r="CEV77" s="139"/>
      <c r="CEW77" s="139"/>
      <c r="CEX77" s="139"/>
      <c r="CEY77" s="139"/>
      <c r="CEZ77" s="139"/>
      <c r="CFA77" s="139"/>
      <c r="CFB77" s="139"/>
      <c r="CFC77" s="139"/>
      <c r="CFD77" s="139"/>
      <c r="CFE77" s="139"/>
      <c r="CFF77" s="139"/>
      <c r="CFG77" s="139"/>
      <c r="CFH77" s="139"/>
      <c r="CFI77" s="139"/>
      <c r="CFJ77" s="139"/>
      <c r="CFK77" s="139"/>
      <c r="CFL77" s="139"/>
      <c r="CFM77" s="139"/>
      <c r="CFN77" s="139"/>
      <c r="CFO77" s="139"/>
      <c r="CFP77" s="139"/>
      <c r="CFQ77" s="139"/>
      <c r="CFR77" s="139"/>
      <c r="CFS77" s="139"/>
      <c r="CFT77" s="139"/>
      <c r="CFU77" s="139"/>
      <c r="CFV77" s="139"/>
      <c r="CFW77" s="139"/>
      <c r="CFX77" s="139"/>
      <c r="CFY77" s="139"/>
      <c r="CFZ77" s="139"/>
      <c r="CGA77" s="139"/>
      <c r="CGB77" s="139"/>
      <c r="CGC77" s="139"/>
      <c r="CGD77" s="139"/>
      <c r="CGE77" s="139"/>
      <c r="CGF77" s="139"/>
      <c r="CGG77" s="139"/>
      <c r="CGH77" s="139"/>
      <c r="CGI77" s="139"/>
      <c r="CGJ77" s="139"/>
      <c r="CGK77" s="139"/>
      <c r="CGL77" s="139"/>
      <c r="CGM77" s="139"/>
      <c r="CGN77" s="139"/>
      <c r="CGO77" s="139"/>
      <c r="CGP77" s="139"/>
      <c r="CGQ77" s="139"/>
      <c r="CGR77" s="139"/>
      <c r="CGS77" s="139"/>
      <c r="CGT77" s="139"/>
      <c r="CGU77" s="139"/>
      <c r="CGV77" s="139"/>
      <c r="CGW77" s="139"/>
      <c r="CGX77" s="139"/>
      <c r="CGY77" s="139"/>
      <c r="CGZ77" s="139"/>
      <c r="CHA77" s="139"/>
      <c r="CHB77" s="139"/>
      <c r="CHC77" s="139"/>
      <c r="CHD77" s="139"/>
      <c r="CHE77" s="139"/>
      <c r="CHF77" s="139"/>
      <c r="CHG77" s="139"/>
      <c r="CHH77" s="139"/>
      <c r="CHI77" s="139"/>
      <c r="CHJ77" s="139"/>
      <c r="CHK77" s="139"/>
      <c r="CHL77" s="139"/>
      <c r="CHM77" s="139"/>
      <c r="CHN77" s="139"/>
      <c r="CHO77" s="139"/>
      <c r="CHP77" s="139"/>
      <c r="CHQ77" s="139"/>
      <c r="CHR77" s="139"/>
      <c r="CHS77" s="139"/>
      <c r="CHT77" s="139"/>
      <c r="CHU77" s="139"/>
      <c r="CHV77" s="139"/>
      <c r="CHW77" s="139"/>
      <c r="CHX77" s="139"/>
      <c r="CHY77" s="139"/>
      <c r="CHZ77" s="139"/>
      <c r="CIA77" s="139"/>
      <c r="CIB77" s="139"/>
      <c r="CIC77" s="139"/>
      <c r="CID77" s="139"/>
      <c r="CIE77" s="139"/>
      <c r="CIF77" s="139"/>
      <c r="CIG77" s="139"/>
      <c r="CIH77" s="139"/>
      <c r="CII77" s="139"/>
      <c r="CIJ77" s="139"/>
      <c r="CIK77" s="139"/>
      <c r="CIL77" s="139"/>
      <c r="CIM77" s="139"/>
      <c r="CIN77" s="139"/>
      <c r="CIO77" s="139"/>
      <c r="CIP77" s="139"/>
      <c r="CIQ77" s="139"/>
      <c r="CIR77" s="139"/>
      <c r="CIS77" s="139"/>
      <c r="CIT77" s="139"/>
      <c r="CIU77" s="139"/>
      <c r="CIV77" s="139"/>
      <c r="CIW77" s="139"/>
      <c r="CIX77" s="139"/>
      <c r="CIY77" s="139"/>
      <c r="CIZ77" s="139"/>
      <c r="CJA77" s="139"/>
      <c r="CJB77" s="139"/>
      <c r="CJC77" s="139"/>
      <c r="CJD77" s="139"/>
      <c r="CJE77" s="139"/>
      <c r="CJF77" s="139"/>
      <c r="CJG77" s="139"/>
      <c r="CJH77" s="139"/>
      <c r="CJI77" s="139"/>
      <c r="CJJ77" s="139"/>
      <c r="CJK77" s="139"/>
      <c r="CJL77" s="139"/>
      <c r="CJM77" s="139"/>
      <c r="CJN77" s="139"/>
      <c r="CJO77" s="139"/>
      <c r="CJP77" s="139"/>
      <c r="CJQ77" s="139"/>
      <c r="CJR77" s="139"/>
      <c r="CJS77" s="139"/>
      <c r="CJT77" s="139"/>
      <c r="CJU77" s="139"/>
      <c r="CJV77" s="139"/>
      <c r="CJW77" s="139"/>
      <c r="CJX77" s="139"/>
      <c r="CJY77" s="139"/>
      <c r="CJZ77" s="139"/>
      <c r="CKA77" s="139"/>
      <c r="CKB77" s="139"/>
      <c r="CKC77" s="139"/>
      <c r="CKD77" s="139"/>
      <c r="CKE77" s="139"/>
      <c r="CKF77" s="139"/>
      <c r="CKG77" s="139"/>
      <c r="CKH77" s="139"/>
      <c r="CKI77" s="139"/>
      <c r="CKJ77" s="139"/>
      <c r="CKK77" s="139"/>
      <c r="CKL77" s="139"/>
      <c r="CKM77" s="139"/>
      <c r="CKN77" s="139"/>
      <c r="CKO77" s="139"/>
      <c r="CKP77" s="139"/>
      <c r="CKQ77" s="139"/>
      <c r="CKR77" s="139"/>
      <c r="CKS77" s="139"/>
      <c r="CKT77" s="139"/>
      <c r="CKU77" s="139"/>
      <c r="CKV77" s="139"/>
      <c r="CKW77" s="139"/>
      <c r="CKX77" s="139"/>
      <c r="CKY77" s="139"/>
      <c r="CKZ77" s="139"/>
      <c r="CLA77" s="139"/>
      <c r="CLB77" s="139"/>
      <c r="CLC77" s="139"/>
      <c r="CLD77" s="139"/>
      <c r="CLE77" s="139"/>
      <c r="CLF77" s="139"/>
      <c r="CLG77" s="139"/>
      <c r="CLH77" s="139"/>
      <c r="CLI77" s="139"/>
      <c r="CLJ77" s="139"/>
      <c r="CLK77" s="139"/>
      <c r="CLL77" s="139"/>
      <c r="CLM77" s="139"/>
      <c r="CLN77" s="139"/>
      <c r="CLO77" s="139"/>
      <c r="CLP77" s="139"/>
      <c r="CLQ77" s="139"/>
      <c r="CLR77" s="139"/>
      <c r="CLS77" s="139"/>
      <c r="CLT77" s="139"/>
      <c r="CLU77" s="139"/>
      <c r="CLV77" s="139"/>
      <c r="CLW77" s="139"/>
      <c r="CLX77" s="139"/>
      <c r="CLY77" s="139"/>
      <c r="CLZ77" s="139"/>
      <c r="CMA77" s="139"/>
      <c r="CMB77" s="139"/>
      <c r="CMC77" s="139"/>
      <c r="CMD77" s="139"/>
      <c r="CME77" s="139"/>
      <c r="CMF77" s="139"/>
      <c r="CMG77" s="139"/>
      <c r="CMH77" s="139"/>
      <c r="CMI77" s="139"/>
      <c r="CMJ77" s="139"/>
      <c r="CMK77" s="139"/>
      <c r="CML77" s="139"/>
      <c r="CMM77" s="139"/>
      <c r="CMN77" s="139"/>
      <c r="CMO77" s="139"/>
      <c r="CMP77" s="139"/>
      <c r="CMQ77" s="139"/>
      <c r="CMR77" s="139"/>
      <c r="CMS77" s="139"/>
      <c r="CMT77" s="139"/>
      <c r="CMU77" s="139"/>
      <c r="CMV77" s="139"/>
      <c r="CMW77" s="139"/>
      <c r="CMX77" s="139"/>
      <c r="CMY77" s="139"/>
      <c r="CMZ77" s="139"/>
      <c r="CNA77" s="139"/>
      <c r="CNB77" s="139"/>
      <c r="CNC77" s="139"/>
      <c r="CND77" s="139"/>
      <c r="CNE77" s="139"/>
      <c r="CNF77" s="139"/>
      <c r="CNG77" s="139"/>
      <c r="CNH77" s="139"/>
      <c r="CNI77" s="139"/>
      <c r="CNJ77" s="139"/>
      <c r="CNK77" s="139"/>
      <c r="CNL77" s="139"/>
      <c r="CNM77" s="139"/>
      <c r="CNN77" s="139"/>
      <c r="CNO77" s="139"/>
      <c r="CNP77" s="139"/>
      <c r="CNQ77" s="139"/>
      <c r="CNR77" s="139"/>
      <c r="CNS77" s="139"/>
      <c r="CNT77" s="139"/>
      <c r="CNU77" s="139"/>
      <c r="CNV77" s="139"/>
      <c r="CNW77" s="139"/>
      <c r="CNX77" s="139"/>
      <c r="CNY77" s="139"/>
      <c r="CNZ77" s="139"/>
      <c r="COA77" s="139"/>
      <c r="COB77" s="139"/>
      <c r="COC77" s="139"/>
      <c r="COD77" s="139"/>
      <c r="COE77" s="139"/>
      <c r="COF77" s="139"/>
      <c r="COG77" s="139"/>
      <c r="COH77" s="139"/>
      <c r="COI77" s="139"/>
      <c r="COJ77" s="139"/>
      <c r="COK77" s="139"/>
      <c r="COL77" s="139"/>
      <c r="COM77" s="139"/>
      <c r="CON77" s="139"/>
      <c r="COO77" s="139"/>
      <c r="COP77" s="139"/>
      <c r="COQ77" s="139"/>
      <c r="COR77" s="139"/>
      <c r="COS77" s="139"/>
      <c r="COT77" s="139"/>
      <c r="COU77" s="139"/>
      <c r="COV77" s="139"/>
      <c r="COW77" s="139"/>
      <c r="COX77" s="139"/>
      <c r="COY77" s="139"/>
      <c r="COZ77" s="139"/>
      <c r="CPA77" s="139"/>
      <c r="CPB77" s="139"/>
      <c r="CPC77" s="139"/>
      <c r="CPD77" s="139"/>
      <c r="CPE77" s="139"/>
      <c r="CPF77" s="139"/>
      <c r="CPG77" s="139"/>
      <c r="CPH77" s="139"/>
      <c r="CPI77" s="139"/>
      <c r="CPJ77" s="139"/>
      <c r="CPK77" s="139"/>
      <c r="CPL77" s="139"/>
      <c r="CPM77" s="139"/>
      <c r="CPN77" s="139"/>
      <c r="CPO77" s="139"/>
      <c r="CPP77" s="139"/>
      <c r="CPQ77" s="139"/>
      <c r="CPR77" s="139"/>
      <c r="CPS77" s="139"/>
      <c r="CPT77" s="139"/>
      <c r="CPU77" s="139"/>
      <c r="CPV77" s="139"/>
      <c r="CPW77" s="139"/>
      <c r="CPX77" s="139"/>
      <c r="CPY77" s="139"/>
      <c r="CPZ77" s="139"/>
      <c r="CQA77" s="139"/>
      <c r="CQB77" s="139"/>
      <c r="CQC77" s="139"/>
      <c r="CQD77" s="139"/>
      <c r="CQE77" s="139"/>
      <c r="CQF77" s="139"/>
      <c r="CQG77" s="139"/>
      <c r="CQH77" s="139"/>
      <c r="CQI77" s="139"/>
      <c r="CQJ77" s="139"/>
      <c r="CQK77" s="139"/>
      <c r="CQL77" s="139"/>
      <c r="CQM77" s="139"/>
      <c r="CQN77" s="139"/>
      <c r="CQO77" s="139"/>
      <c r="CQP77" s="139"/>
      <c r="CQQ77" s="139"/>
      <c r="CQR77" s="139"/>
      <c r="CQS77" s="139"/>
      <c r="CQT77" s="139"/>
      <c r="CQU77" s="139"/>
      <c r="CQV77" s="139"/>
      <c r="CQW77" s="139"/>
      <c r="CQX77" s="139"/>
      <c r="CQY77" s="139"/>
      <c r="CQZ77" s="139"/>
      <c r="CRA77" s="139"/>
      <c r="CRB77" s="139"/>
      <c r="CRC77" s="139"/>
      <c r="CRD77" s="139"/>
      <c r="CRE77" s="139"/>
      <c r="CRF77" s="139"/>
      <c r="CRG77" s="139"/>
      <c r="CRH77" s="139"/>
      <c r="CRI77" s="139"/>
      <c r="CRJ77" s="139"/>
      <c r="CRK77" s="139"/>
      <c r="CRL77" s="139"/>
      <c r="CRM77" s="139"/>
      <c r="CRN77" s="139"/>
      <c r="CRO77" s="139"/>
      <c r="CRP77" s="139"/>
      <c r="CRQ77" s="139"/>
      <c r="CRR77" s="139"/>
      <c r="CRS77" s="139"/>
      <c r="CRT77" s="139"/>
      <c r="CRU77" s="139"/>
      <c r="CRV77" s="139"/>
      <c r="CRW77" s="139"/>
      <c r="CRX77" s="139"/>
      <c r="CRY77" s="139"/>
      <c r="CRZ77" s="139"/>
      <c r="CSA77" s="139"/>
      <c r="CSB77" s="139"/>
      <c r="CSC77" s="139"/>
      <c r="CSD77" s="139"/>
      <c r="CSE77" s="139"/>
      <c r="CSF77" s="139"/>
      <c r="CSG77" s="139"/>
      <c r="CSH77" s="139"/>
      <c r="CSI77" s="139"/>
      <c r="CSJ77" s="139"/>
      <c r="CSK77" s="139"/>
      <c r="CSL77" s="139"/>
      <c r="CSM77" s="139"/>
      <c r="CSN77" s="139"/>
      <c r="CSO77" s="139"/>
      <c r="CSP77" s="139"/>
      <c r="CSQ77" s="139"/>
      <c r="CSR77" s="139"/>
      <c r="CSS77" s="139"/>
      <c r="CST77" s="139"/>
      <c r="CSU77" s="139"/>
      <c r="CSV77" s="139"/>
      <c r="CSW77" s="139"/>
      <c r="CSX77" s="139"/>
      <c r="CSY77" s="139"/>
      <c r="CSZ77" s="139"/>
      <c r="CTA77" s="139"/>
      <c r="CTB77" s="139"/>
      <c r="CTC77" s="139"/>
      <c r="CTD77" s="139"/>
      <c r="CTE77" s="139"/>
      <c r="CTF77" s="139"/>
      <c r="CTG77" s="139"/>
      <c r="CTH77" s="139"/>
      <c r="CTI77" s="139"/>
      <c r="CTJ77" s="139"/>
      <c r="CTK77" s="139"/>
      <c r="CTL77" s="139"/>
      <c r="CTM77" s="139"/>
      <c r="CTN77" s="139"/>
      <c r="CTO77" s="139"/>
      <c r="CTP77" s="139"/>
      <c r="CTQ77" s="139"/>
      <c r="CTR77" s="139"/>
      <c r="CTS77" s="139"/>
      <c r="CTT77" s="139"/>
      <c r="CTU77" s="139"/>
      <c r="CTV77" s="139"/>
      <c r="CTW77" s="139"/>
      <c r="CTX77" s="139"/>
      <c r="CTY77" s="139"/>
      <c r="CTZ77" s="139"/>
      <c r="CUA77" s="139"/>
      <c r="CUB77" s="139"/>
      <c r="CUC77" s="139"/>
      <c r="CUD77" s="139"/>
      <c r="CUE77" s="139"/>
      <c r="CUF77" s="139"/>
      <c r="CUG77" s="139"/>
      <c r="CUH77" s="139"/>
      <c r="CUI77" s="139"/>
      <c r="CUJ77" s="139"/>
      <c r="CUK77" s="139"/>
      <c r="CUL77" s="139"/>
      <c r="CUM77" s="139"/>
      <c r="CUN77" s="139"/>
      <c r="CUO77" s="139"/>
      <c r="CUP77" s="139"/>
      <c r="CUQ77" s="139"/>
      <c r="CUR77" s="139"/>
      <c r="CUS77" s="139"/>
      <c r="CUT77" s="139"/>
      <c r="CUU77" s="139"/>
      <c r="CUV77" s="139"/>
      <c r="CUW77" s="139"/>
      <c r="CUX77" s="139"/>
      <c r="CUY77" s="139"/>
      <c r="CUZ77" s="139"/>
      <c r="CVA77" s="139"/>
      <c r="CVB77" s="139"/>
      <c r="CVC77" s="139"/>
      <c r="CVD77" s="139"/>
      <c r="CVE77" s="139"/>
      <c r="CVF77" s="139"/>
      <c r="CVG77" s="139"/>
      <c r="CVH77" s="139"/>
      <c r="CVI77" s="139"/>
      <c r="CVJ77" s="139"/>
      <c r="CVK77" s="139"/>
      <c r="CVL77" s="139"/>
      <c r="CVM77" s="139"/>
      <c r="CVN77" s="139"/>
      <c r="CVO77" s="139"/>
      <c r="CVP77" s="139"/>
      <c r="CVQ77" s="139"/>
      <c r="CVR77" s="139"/>
      <c r="CVS77" s="139"/>
      <c r="CVT77" s="139"/>
      <c r="CVU77" s="139"/>
      <c r="CVV77" s="139"/>
      <c r="CVW77" s="139"/>
      <c r="CVX77" s="139"/>
      <c r="CVY77" s="139"/>
      <c r="CVZ77" s="139"/>
      <c r="CWA77" s="139"/>
      <c r="CWB77" s="139"/>
      <c r="CWC77" s="139"/>
      <c r="CWD77" s="139"/>
      <c r="CWE77" s="139"/>
      <c r="CWF77" s="139"/>
      <c r="CWG77" s="139"/>
      <c r="CWH77" s="139"/>
      <c r="CWI77" s="139"/>
      <c r="CWJ77" s="139"/>
      <c r="CWK77" s="139"/>
      <c r="CWL77" s="139"/>
      <c r="CWM77" s="139"/>
      <c r="CWN77" s="139"/>
      <c r="CWO77" s="139"/>
      <c r="CWP77" s="139"/>
      <c r="CWQ77" s="139"/>
      <c r="CWR77" s="139"/>
      <c r="CWS77" s="139"/>
      <c r="CWT77" s="139"/>
      <c r="CWU77" s="139"/>
      <c r="CWV77" s="139"/>
      <c r="CWW77" s="139"/>
      <c r="CWX77" s="139"/>
      <c r="CWY77" s="139"/>
      <c r="CWZ77" s="139"/>
      <c r="CXA77" s="139"/>
      <c r="CXB77" s="139"/>
      <c r="CXC77" s="139"/>
      <c r="CXD77" s="139"/>
      <c r="CXE77" s="139"/>
      <c r="CXF77" s="139"/>
      <c r="CXG77" s="139"/>
      <c r="CXH77" s="139"/>
      <c r="CXI77" s="139"/>
      <c r="CXJ77" s="139"/>
      <c r="CXK77" s="139"/>
      <c r="CXL77" s="139"/>
      <c r="CXM77" s="139"/>
      <c r="CXN77" s="139"/>
      <c r="CXO77" s="139"/>
      <c r="CXP77" s="139"/>
      <c r="CXQ77" s="139"/>
      <c r="CXR77" s="139"/>
      <c r="CXS77" s="139"/>
      <c r="CXT77" s="139"/>
      <c r="CXU77" s="139"/>
      <c r="CXV77" s="139"/>
      <c r="CXW77" s="139"/>
      <c r="CXX77" s="139"/>
      <c r="CXY77" s="139"/>
      <c r="CXZ77" s="139"/>
      <c r="CYA77" s="139"/>
      <c r="CYB77" s="139"/>
      <c r="CYC77" s="139"/>
      <c r="CYD77" s="139"/>
      <c r="CYE77" s="139"/>
      <c r="CYF77" s="139"/>
      <c r="CYG77" s="139"/>
      <c r="CYH77" s="139"/>
      <c r="CYI77" s="139"/>
      <c r="CYJ77" s="139"/>
      <c r="CYK77" s="139"/>
      <c r="CYL77" s="139"/>
      <c r="CYM77" s="139"/>
      <c r="CYN77" s="139"/>
      <c r="CYO77" s="139"/>
      <c r="CYP77" s="139"/>
      <c r="CYQ77" s="139"/>
      <c r="CYR77" s="139"/>
      <c r="CYS77" s="139"/>
      <c r="CYT77" s="139"/>
      <c r="CYU77" s="139"/>
      <c r="CYV77" s="139"/>
      <c r="CYW77" s="139"/>
      <c r="CYX77" s="139"/>
      <c r="CYY77" s="139"/>
      <c r="CYZ77" s="139"/>
      <c r="CZA77" s="139"/>
      <c r="CZB77" s="139"/>
      <c r="CZC77" s="139"/>
      <c r="CZD77" s="139"/>
      <c r="CZE77" s="139"/>
      <c r="CZF77" s="139"/>
      <c r="CZG77" s="139"/>
      <c r="CZH77" s="139"/>
      <c r="CZI77" s="139"/>
      <c r="CZJ77" s="139"/>
      <c r="CZK77" s="139"/>
      <c r="CZL77" s="139"/>
      <c r="CZM77" s="139"/>
      <c r="CZN77" s="139"/>
      <c r="CZO77" s="139"/>
      <c r="CZP77" s="139"/>
      <c r="CZQ77" s="139"/>
      <c r="CZR77" s="139"/>
      <c r="CZS77" s="139"/>
      <c r="CZT77" s="139"/>
      <c r="CZU77" s="139"/>
      <c r="CZV77" s="139"/>
      <c r="CZW77" s="139"/>
      <c r="CZX77" s="139"/>
      <c r="CZY77" s="139"/>
      <c r="CZZ77" s="139"/>
      <c r="DAA77" s="139"/>
      <c r="DAB77" s="139"/>
      <c r="DAC77" s="139"/>
      <c r="DAD77" s="139"/>
      <c r="DAE77" s="139"/>
      <c r="DAF77" s="139"/>
      <c r="DAG77" s="139"/>
      <c r="DAH77" s="139"/>
      <c r="DAI77" s="139"/>
      <c r="DAJ77" s="139"/>
      <c r="DAK77" s="139"/>
      <c r="DAL77" s="139"/>
      <c r="DAM77" s="139"/>
      <c r="DAN77" s="139"/>
      <c r="DAO77" s="139"/>
      <c r="DAP77" s="139"/>
      <c r="DAQ77" s="139"/>
      <c r="DAR77" s="139"/>
      <c r="DAS77" s="139"/>
      <c r="DAT77" s="139"/>
      <c r="DAU77" s="139"/>
      <c r="DAV77" s="139"/>
      <c r="DAW77" s="139"/>
      <c r="DAX77" s="139"/>
      <c r="DAY77" s="139"/>
      <c r="DAZ77" s="139"/>
      <c r="DBA77" s="139"/>
      <c r="DBB77" s="139"/>
      <c r="DBC77" s="139"/>
      <c r="DBD77" s="139"/>
      <c r="DBE77" s="139"/>
      <c r="DBF77" s="139"/>
      <c r="DBG77" s="139"/>
      <c r="DBH77" s="139"/>
      <c r="DBI77" s="139"/>
      <c r="DBJ77" s="139"/>
      <c r="DBK77" s="139"/>
      <c r="DBL77" s="139"/>
      <c r="DBM77" s="139"/>
      <c r="DBN77" s="139"/>
      <c r="DBO77" s="139"/>
      <c r="DBP77" s="139"/>
      <c r="DBQ77" s="139"/>
      <c r="DBR77" s="139"/>
      <c r="DBS77" s="139"/>
      <c r="DBT77" s="139"/>
      <c r="DBU77" s="139"/>
      <c r="DBV77" s="139"/>
      <c r="DBW77" s="139"/>
      <c r="DBX77" s="139"/>
      <c r="DBY77" s="139"/>
      <c r="DBZ77" s="139"/>
      <c r="DCA77" s="139"/>
      <c r="DCB77" s="139"/>
      <c r="DCC77" s="139"/>
      <c r="DCD77" s="139"/>
      <c r="DCE77" s="139"/>
      <c r="DCF77" s="139"/>
      <c r="DCG77" s="139"/>
      <c r="DCH77" s="139"/>
      <c r="DCI77" s="139"/>
      <c r="DCJ77" s="139"/>
      <c r="DCK77" s="139"/>
      <c r="DCL77" s="139"/>
      <c r="DCM77" s="139"/>
      <c r="DCN77" s="139"/>
      <c r="DCO77" s="139"/>
      <c r="DCP77" s="139"/>
      <c r="DCQ77" s="139"/>
      <c r="DCR77" s="139"/>
      <c r="DCS77" s="139"/>
      <c r="DCT77" s="139"/>
      <c r="DCU77" s="139"/>
      <c r="DCV77" s="139"/>
      <c r="DCW77" s="139"/>
      <c r="DCX77" s="139"/>
      <c r="DCY77" s="139"/>
      <c r="DCZ77" s="139"/>
      <c r="DDA77" s="139"/>
      <c r="DDB77" s="139"/>
      <c r="DDC77" s="139"/>
      <c r="DDD77" s="139"/>
      <c r="DDE77" s="139"/>
      <c r="DDF77" s="139"/>
      <c r="DDG77" s="139"/>
      <c r="DDH77" s="139"/>
      <c r="DDI77" s="139"/>
      <c r="DDJ77" s="139"/>
      <c r="DDK77" s="139"/>
      <c r="DDL77" s="139"/>
      <c r="DDM77" s="139"/>
      <c r="DDN77" s="139"/>
      <c r="DDO77" s="139"/>
      <c r="DDP77" s="139"/>
      <c r="DDQ77" s="139"/>
      <c r="DDR77" s="139"/>
      <c r="DDS77" s="139"/>
      <c r="DDT77" s="139"/>
      <c r="DDU77" s="139"/>
      <c r="DDV77" s="139"/>
      <c r="DDW77" s="139"/>
      <c r="DDX77" s="139"/>
      <c r="DDY77" s="139"/>
      <c r="DDZ77" s="139"/>
      <c r="DEA77" s="139"/>
      <c r="DEB77" s="139"/>
      <c r="DEC77" s="139"/>
      <c r="DED77" s="139"/>
      <c r="DEE77" s="139"/>
      <c r="DEF77" s="139"/>
      <c r="DEG77" s="139"/>
      <c r="DEH77" s="139"/>
      <c r="DEI77" s="139"/>
      <c r="DEJ77" s="139"/>
      <c r="DEK77" s="139"/>
      <c r="DEL77" s="139"/>
      <c r="DEM77" s="139"/>
      <c r="DEN77" s="139"/>
      <c r="DEO77" s="139"/>
      <c r="DEP77" s="139"/>
      <c r="DEQ77" s="139"/>
      <c r="DER77" s="139"/>
      <c r="DES77" s="139"/>
      <c r="DET77" s="139"/>
      <c r="DEU77" s="139"/>
      <c r="DEV77" s="139"/>
      <c r="DEW77" s="139"/>
      <c r="DEX77" s="139"/>
      <c r="DEY77" s="139"/>
      <c r="DEZ77" s="139"/>
      <c r="DFA77" s="139"/>
      <c r="DFB77" s="139"/>
      <c r="DFC77" s="139"/>
      <c r="DFD77" s="139"/>
      <c r="DFE77" s="139"/>
      <c r="DFF77" s="139"/>
      <c r="DFG77" s="139"/>
      <c r="DFH77" s="139"/>
      <c r="DFI77" s="139"/>
      <c r="DFJ77" s="139"/>
      <c r="DFK77" s="139"/>
      <c r="DFL77" s="139"/>
      <c r="DFM77" s="139"/>
      <c r="DFN77" s="139"/>
      <c r="DFO77" s="139"/>
      <c r="DFP77" s="139"/>
      <c r="DFQ77" s="139"/>
      <c r="DFR77" s="139"/>
      <c r="DFS77" s="139"/>
      <c r="DFT77" s="139"/>
      <c r="DFU77" s="139"/>
      <c r="DFV77" s="139"/>
      <c r="DFW77" s="139"/>
      <c r="DFX77" s="139"/>
      <c r="DFY77" s="139"/>
      <c r="DFZ77" s="139"/>
      <c r="DGA77" s="139"/>
      <c r="DGB77" s="139"/>
      <c r="DGC77" s="139"/>
      <c r="DGD77" s="139"/>
      <c r="DGE77" s="139"/>
      <c r="DGF77" s="139"/>
      <c r="DGG77" s="139"/>
      <c r="DGH77" s="139"/>
      <c r="DGI77" s="139"/>
      <c r="DGJ77" s="139"/>
      <c r="DGK77" s="139"/>
      <c r="DGL77" s="139"/>
      <c r="DGM77" s="139"/>
      <c r="DGN77" s="139"/>
      <c r="DGO77" s="139"/>
      <c r="DGP77" s="139"/>
      <c r="DGQ77" s="139"/>
      <c r="DGR77" s="139"/>
      <c r="DGS77" s="139"/>
      <c r="DGT77" s="139"/>
      <c r="DGU77" s="139"/>
      <c r="DGV77" s="139"/>
      <c r="DGW77" s="139"/>
      <c r="DGX77" s="139"/>
      <c r="DGY77" s="139"/>
      <c r="DGZ77" s="139"/>
      <c r="DHA77" s="139"/>
      <c r="DHB77" s="139"/>
      <c r="DHC77" s="139"/>
      <c r="DHD77" s="139"/>
      <c r="DHE77" s="139"/>
      <c r="DHF77" s="139"/>
      <c r="DHG77" s="139"/>
      <c r="DHH77" s="139"/>
      <c r="DHI77" s="139"/>
      <c r="DHJ77" s="139"/>
      <c r="DHK77" s="139"/>
      <c r="DHL77" s="139"/>
      <c r="DHM77" s="139"/>
      <c r="DHN77" s="139"/>
      <c r="DHO77" s="139"/>
      <c r="DHP77" s="139"/>
      <c r="DHQ77" s="139"/>
      <c r="DHR77" s="139"/>
      <c r="DHS77" s="139"/>
      <c r="DHT77" s="139"/>
      <c r="DHU77" s="139"/>
      <c r="DHV77" s="139"/>
      <c r="DHW77" s="139"/>
      <c r="DHX77" s="139"/>
      <c r="DHY77" s="139"/>
      <c r="DHZ77" s="139"/>
      <c r="DIA77" s="139"/>
      <c r="DIB77" s="139"/>
      <c r="DIC77" s="139"/>
      <c r="DID77" s="139"/>
      <c r="DIE77" s="139"/>
      <c r="DIF77" s="139"/>
      <c r="DIG77" s="139"/>
      <c r="DIH77" s="139"/>
      <c r="DII77" s="139"/>
      <c r="DIJ77" s="139"/>
      <c r="DIK77" s="139"/>
      <c r="DIL77" s="139"/>
      <c r="DIM77" s="139"/>
      <c r="DIN77" s="139"/>
      <c r="DIO77" s="139"/>
      <c r="DIP77" s="139"/>
      <c r="DIQ77" s="139"/>
      <c r="DIR77" s="139"/>
      <c r="DIS77" s="139"/>
      <c r="DIT77" s="139"/>
      <c r="DIU77" s="139"/>
      <c r="DIV77" s="139"/>
      <c r="DIW77" s="139"/>
      <c r="DIX77" s="139"/>
      <c r="DIY77" s="139"/>
      <c r="DIZ77" s="139"/>
      <c r="DJA77" s="139"/>
      <c r="DJB77" s="139"/>
      <c r="DJC77" s="139"/>
      <c r="DJD77" s="139"/>
      <c r="DJE77" s="139"/>
      <c r="DJF77" s="139"/>
      <c r="DJG77" s="139"/>
      <c r="DJH77" s="139"/>
      <c r="DJI77" s="139"/>
      <c r="DJJ77" s="139"/>
      <c r="DJK77" s="139"/>
      <c r="DJL77" s="139"/>
      <c r="DJM77" s="139"/>
      <c r="DJN77" s="139"/>
      <c r="DJO77" s="139"/>
      <c r="DJP77" s="139"/>
      <c r="DJQ77" s="139"/>
      <c r="DJR77" s="139"/>
      <c r="DJS77" s="139"/>
      <c r="DJT77" s="139"/>
      <c r="DJU77" s="139"/>
      <c r="DJV77" s="139"/>
      <c r="DJW77" s="139"/>
      <c r="DJX77" s="139"/>
      <c r="DJY77" s="139"/>
      <c r="DJZ77" s="139"/>
      <c r="DKA77" s="139"/>
      <c r="DKB77" s="139"/>
      <c r="DKC77" s="139"/>
      <c r="DKD77" s="139"/>
      <c r="DKE77" s="139"/>
      <c r="DKF77" s="139"/>
      <c r="DKG77" s="139"/>
      <c r="DKH77" s="139"/>
      <c r="DKI77" s="139"/>
      <c r="DKJ77" s="139"/>
      <c r="DKK77" s="139"/>
      <c r="DKL77" s="139"/>
      <c r="DKM77" s="139"/>
      <c r="DKN77" s="139"/>
      <c r="DKO77" s="139"/>
      <c r="DKP77" s="139"/>
      <c r="DKQ77" s="139"/>
      <c r="DKR77" s="139"/>
      <c r="DKS77" s="139"/>
      <c r="DKT77" s="139"/>
      <c r="DKU77" s="139"/>
      <c r="DKV77" s="139"/>
      <c r="DKW77" s="139"/>
      <c r="DKX77" s="139"/>
      <c r="DKY77" s="139"/>
      <c r="DKZ77" s="139"/>
      <c r="DLA77" s="139"/>
      <c r="DLB77" s="139"/>
      <c r="DLC77" s="139"/>
      <c r="DLD77" s="139"/>
      <c r="DLE77" s="139"/>
      <c r="DLF77" s="139"/>
      <c r="DLG77" s="139"/>
      <c r="DLH77" s="139"/>
      <c r="DLI77" s="139"/>
      <c r="DLJ77" s="139"/>
      <c r="DLK77" s="139"/>
      <c r="DLL77" s="139"/>
      <c r="DLM77" s="139"/>
      <c r="DLN77" s="139"/>
      <c r="DLO77" s="139"/>
      <c r="DLP77" s="139"/>
      <c r="DLQ77" s="139"/>
      <c r="DLR77" s="139"/>
      <c r="DLS77" s="139"/>
      <c r="DLT77" s="139"/>
      <c r="DLU77" s="139"/>
      <c r="DLV77" s="139"/>
      <c r="DLW77" s="139"/>
      <c r="DLX77" s="139"/>
      <c r="DLY77" s="139"/>
      <c r="DLZ77" s="139"/>
      <c r="DMA77" s="139"/>
      <c r="DMB77" s="139"/>
      <c r="DMC77" s="139"/>
      <c r="DMD77" s="139"/>
      <c r="DME77" s="139"/>
      <c r="DMF77" s="139"/>
      <c r="DMG77" s="139"/>
      <c r="DMH77" s="139"/>
      <c r="DMI77" s="139"/>
      <c r="DMJ77" s="139"/>
      <c r="DMK77" s="139"/>
      <c r="DML77" s="139"/>
      <c r="DMM77" s="139"/>
      <c r="DMN77" s="139"/>
      <c r="DMO77" s="139"/>
      <c r="DMP77" s="139"/>
      <c r="DMQ77" s="139"/>
      <c r="DMR77" s="139"/>
      <c r="DMS77" s="139"/>
      <c r="DMT77" s="139"/>
      <c r="DMU77" s="139"/>
      <c r="DMV77" s="139"/>
      <c r="DMW77" s="139"/>
      <c r="DMX77" s="139"/>
      <c r="DMY77" s="139"/>
      <c r="DMZ77" s="139"/>
      <c r="DNA77" s="139"/>
      <c r="DNB77" s="139"/>
      <c r="DNC77" s="139"/>
      <c r="DND77" s="139"/>
      <c r="DNE77" s="139"/>
      <c r="DNF77" s="139"/>
      <c r="DNG77" s="139"/>
      <c r="DNH77" s="139"/>
      <c r="DNI77" s="139"/>
      <c r="DNJ77" s="139"/>
      <c r="DNK77" s="139"/>
      <c r="DNL77" s="139"/>
      <c r="DNM77" s="139"/>
      <c r="DNN77" s="139"/>
      <c r="DNO77" s="139"/>
      <c r="DNP77" s="139"/>
      <c r="DNQ77" s="139"/>
      <c r="DNR77" s="139"/>
      <c r="DNS77" s="139"/>
      <c r="DNT77" s="139"/>
      <c r="DNU77" s="139"/>
      <c r="DNV77" s="139"/>
      <c r="DNW77" s="139"/>
      <c r="DNX77" s="139"/>
      <c r="DNY77" s="139"/>
      <c r="DNZ77" s="139"/>
      <c r="DOA77" s="139"/>
      <c r="DOB77" s="139"/>
      <c r="DOC77" s="139"/>
      <c r="DOD77" s="139"/>
      <c r="DOE77" s="139"/>
      <c r="DOF77" s="139"/>
      <c r="DOG77" s="139"/>
      <c r="DOH77" s="139"/>
      <c r="DOI77" s="139"/>
      <c r="DOJ77" s="139"/>
      <c r="DOK77" s="139"/>
      <c r="DOL77" s="139"/>
      <c r="DOM77" s="139"/>
      <c r="DON77" s="139"/>
      <c r="DOO77" s="139"/>
      <c r="DOP77" s="139"/>
      <c r="DOQ77" s="139"/>
      <c r="DOR77" s="139"/>
      <c r="DOS77" s="139"/>
      <c r="DOT77" s="139"/>
      <c r="DOU77" s="139"/>
      <c r="DOV77" s="139"/>
      <c r="DOW77" s="139"/>
      <c r="DOX77" s="139"/>
      <c r="DOY77" s="139"/>
      <c r="DOZ77" s="139"/>
      <c r="DPA77" s="139"/>
      <c r="DPB77" s="139"/>
      <c r="DPC77" s="139"/>
      <c r="DPD77" s="139"/>
      <c r="DPE77" s="139"/>
      <c r="DPF77" s="139"/>
      <c r="DPG77" s="139"/>
      <c r="DPH77" s="139"/>
      <c r="DPI77" s="139"/>
      <c r="DPJ77" s="139"/>
      <c r="DPK77" s="139"/>
      <c r="DPL77" s="139"/>
      <c r="DPM77" s="139"/>
      <c r="DPN77" s="139"/>
      <c r="DPO77" s="139"/>
      <c r="DPP77" s="139"/>
      <c r="DPQ77" s="139"/>
      <c r="DPR77" s="139"/>
      <c r="DPS77" s="139"/>
      <c r="DPT77" s="139"/>
      <c r="DPU77" s="139"/>
      <c r="DPV77" s="139"/>
      <c r="DPW77" s="139"/>
      <c r="DPX77" s="139"/>
      <c r="DPY77" s="139"/>
      <c r="DPZ77" s="139"/>
      <c r="DQA77" s="139"/>
      <c r="DQB77" s="139"/>
      <c r="DQC77" s="139"/>
      <c r="DQD77" s="139"/>
      <c r="DQE77" s="139"/>
      <c r="DQF77" s="139"/>
      <c r="DQG77" s="139"/>
      <c r="DQH77" s="139"/>
      <c r="DQI77" s="139"/>
      <c r="DQJ77" s="139"/>
      <c r="DQK77" s="139"/>
      <c r="DQL77" s="139"/>
      <c r="DQM77" s="139"/>
      <c r="DQN77" s="139"/>
      <c r="DQO77" s="139"/>
      <c r="DQP77" s="139"/>
      <c r="DQQ77" s="139"/>
      <c r="DQR77" s="139"/>
      <c r="DQS77" s="139"/>
      <c r="DQT77" s="139"/>
      <c r="DQU77" s="139"/>
      <c r="DQV77" s="139"/>
      <c r="DQW77" s="139"/>
      <c r="DQX77" s="139"/>
      <c r="DQY77" s="139"/>
      <c r="DQZ77" s="139"/>
      <c r="DRA77" s="139"/>
      <c r="DRB77" s="139"/>
      <c r="DRC77" s="139"/>
      <c r="DRD77" s="139"/>
      <c r="DRE77" s="139"/>
      <c r="DRF77" s="139"/>
      <c r="DRG77" s="139"/>
      <c r="DRH77" s="139"/>
      <c r="DRI77" s="139"/>
      <c r="DRJ77" s="139"/>
      <c r="DRK77" s="139"/>
      <c r="DRL77" s="139"/>
      <c r="DRM77" s="139"/>
      <c r="DRN77" s="139"/>
      <c r="DRO77" s="139"/>
      <c r="DRP77" s="139"/>
      <c r="DRQ77" s="139"/>
      <c r="DRR77" s="139"/>
      <c r="DRS77" s="139"/>
      <c r="DRT77" s="139"/>
      <c r="DRU77" s="139"/>
      <c r="DRV77" s="139"/>
      <c r="DRW77" s="139"/>
      <c r="DRX77" s="139"/>
      <c r="DRY77" s="139"/>
      <c r="DRZ77" s="139"/>
      <c r="DSA77" s="139"/>
      <c r="DSB77" s="139"/>
      <c r="DSC77" s="139"/>
      <c r="DSD77" s="139"/>
      <c r="DSE77" s="139"/>
      <c r="DSF77" s="139"/>
      <c r="DSG77" s="139"/>
      <c r="DSH77" s="139"/>
      <c r="DSI77" s="139"/>
      <c r="DSJ77" s="139"/>
      <c r="DSK77" s="139"/>
      <c r="DSL77" s="139"/>
      <c r="DSM77" s="139"/>
      <c r="DSN77" s="139"/>
      <c r="DSO77" s="139"/>
      <c r="DSP77" s="139"/>
      <c r="DSQ77" s="139"/>
      <c r="DSR77" s="139"/>
      <c r="DSS77" s="139"/>
      <c r="DST77" s="139"/>
      <c r="DSU77" s="139"/>
      <c r="DSV77" s="139"/>
      <c r="DSW77" s="139"/>
      <c r="DSX77" s="139"/>
      <c r="DSY77" s="139"/>
      <c r="DSZ77" s="139"/>
      <c r="DTA77" s="139"/>
      <c r="DTB77" s="139"/>
      <c r="DTC77" s="139"/>
      <c r="DTD77" s="139"/>
      <c r="DTE77" s="139"/>
      <c r="DTF77" s="139"/>
      <c r="DTG77" s="139"/>
      <c r="DTH77" s="139"/>
      <c r="DTI77" s="139"/>
      <c r="DTJ77" s="139"/>
      <c r="DTK77" s="139"/>
      <c r="DTL77" s="139"/>
      <c r="DTM77" s="139"/>
      <c r="DTN77" s="139"/>
      <c r="DTO77" s="139"/>
      <c r="DTP77" s="139"/>
      <c r="DTQ77" s="139"/>
      <c r="DTR77" s="139"/>
      <c r="DTS77" s="139"/>
      <c r="DTT77" s="139"/>
      <c r="DTU77" s="139"/>
      <c r="DTV77" s="139"/>
      <c r="DTW77" s="139"/>
      <c r="DTX77" s="139"/>
      <c r="DTY77" s="139"/>
      <c r="DTZ77" s="139"/>
      <c r="DUA77" s="139"/>
      <c r="DUB77" s="139"/>
      <c r="DUC77" s="139"/>
      <c r="DUD77" s="139"/>
      <c r="DUE77" s="139"/>
      <c r="DUF77" s="139"/>
      <c r="DUG77" s="139"/>
      <c r="DUH77" s="139"/>
      <c r="DUI77" s="139"/>
      <c r="DUJ77" s="139"/>
      <c r="DUK77" s="139"/>
      <c r="DUL77" s="139"/>
      <c r="DUM77" s="139"/>
      <c r="DUN77" s="139"/>
      <c r="DUO77" s="139"/>
      <c r="DUP77" s="139"/>
      <c r="DUQ77" s="139"/>
      <c r="DUR77" s="139"/>
      <c r="DUS77" s="139"/>
      <c r="DUT77" s="139"/>
      <c r="DUU77" s="139"/>
      <c r="DUV77" s="139"/>
      <c r="DUW77" s="139"/>
      <c r="DUX77" s="139"/>
      <c r="DUY77" s="139"/>
      <c r="DUZ77" s="139"/>
      <c r="DVA77" s="139"/>
      <c r="DVB77" s="139"/>
      <c r="DVC77" s="139"/>
      <c r="DVD77" s="139"/>
      <c r="DVE77" s="139"/>
      <c r="DVF77" s="139"/>
      <c r="DVG77" s="139"/>
      <c r="DVH77" s="139"/>
      <c r="DVI77" s="139"/>
      <c r="DVJ77" s="139"/>
      <c r="DVK77" s="139"/>
      <c r="DVL77" s="139"/>
      <c r="DVM77" s="139"/>
      <c r="DVN77" s="139"/>
      <c r="DVO77" s="139"/>
      <c r="DVP77" s="139"/>
      <c r="DVQ77" s="139"/>
      <c r="DVR77" s="139"/>
      <c r="DVS77" s="139"/>
      <c r="DVT77" s="139"/>
      <c r="DVU77" s="139"/>
      <c r="DVV77" s="139"/>
      <c r="DVW77" s="139"/>
      <c r="DVX77" s="139"/>
      <c r="DVY77" s="139"/>
      <c r="DVZ77" s="139"/>
      <c r="DWA77" s="139"/>
      <c r="DWB77" s="139"/>
      <c r="DWC77" s="139"/>
      <c r="DWD77" s="139"/>
      <c r="DWE77" s="139"/>
      <c r="DWF77" s="139"/>
      <c r="DWG77" s="139"/>
      <c r="DWH77" s="139"/>
      <c r="DWI77" s="139"/>
      <c r="DWJ77" s="139"/>
      <c r="DWK77" s="139"/>
      <c r="DWL77" s="139"/>
      <c r="DWM77" s="139"/>
      <c r="DWN77" s="139"/>
      <c r="DWO77" s="139"/>
      <c r="DWP77" s="139"/>
      <c r="DWQ77" s="139"/>
      <c r="DWR77" s="139"/>
      <c r="DWS77" s="139"/>
      <c r="DWT77" s="139"/>
      <c r="DWU77" s="139"/>
      <c r="DWV77" s="139"/>
      <c r="DWW77" s="139"/>
      <c r="DWX77" s="139"/>
      <c r="DWY77" s="139"/>
      <c r="DWZ77" s="139"/>
      <c r="DXA77" s="139"/>
      <c r="DXB77" s="139"/>
      <c r="DXC77" s="139"/>
      <c r="DXD77" s="139"/>
      <c r="DXE77" s="139"/>
      <c r="DXF77" s="139"/>
      <c r="DXG77" s="139"/>
      <c r="DXH77" s="139"/>
      <c r="DXI77" s="139"/>
      <c r="DXJ77" s="139"/>
      <c r="DXK77" s="139"/>
      <c r="DXL77" s="139"/>
      <c r="DXM77" s="139"/>
      <c r="DXN77" s="139"/>
      <c r="DXO77" s="139"/>
      <c r="DXP77" s="139"/>
      <c r="DXQ77" s="139"/>
      <c r="DXR77" s="139"/>
      <c r="DXS77" s="139"/>
      <c r="DXT77" s="139"/>
      <c r="DXU77" s="139"/>
      <c r="DXV77" s="139"/>
      <c r="DXW77" s="139"/>
      <c r="DXX77" s="139"/>
      <c r="DXY77" s="139"/>
      <c r="DXZ77" s="139"/>
      <c r="DYA77" s="139"/>
      <c r="DYB77" s="139"/>
      <c r="DYC77" s="139"/>
      <c r="DYD77" s="139"/>
      <c r="DYE77" s="139"/>
      <c r="DYF77" s="139"/>
      <c r="DYG77" s="139"/>
      <c r="DYH77" s="139"/>
      <c r="DYI77" s="139"/>
      <c r="DYJ77" s="139"/>
      <c r="DYK77" s="139"/>
      <c r="DYL77" s="139"/>
      <c r="DYM77" s="139"/>
      <c r="DYN77" s="139"/>
      <c r="DYO77" s="139"/>
      <c r="DYP77" s="139"/>
      <c r="DYQ77" s="139"/>
      <c r="DYR77" s="139"/>
      <c r="DYS77" s="139"/>
      <c r="DYT77" s="139"/>
      <c r="DYU77" s="139"/>
      <c r="DYV77" s="139"/>
      <c r="DYW77" s="139"/>
      <c r="DYX77" s="139"/>
      <c r="DYY77" s="139"/>
      <c r="DYZ77" s="139"/>
      <c r="DZA77" s="139"/>
      <c r="DZB77" s="139"/>
      <c r="DZC77" s="139"/>
      <c r="DZD77" s="139"/>
      <c r="DZE77" s="139"/>
      <c r="DZF77" s="139"/>
      <c r="DZG77" s="139"/>
      <c r="DZH77" s="139"/>
      <c r="DZI77" s="139"/>
      <c r="DZJ77" s="139"/>
      <c r="DZK77" s="139"/>
      <c r="DZL77" s="139"/>
      <c r="DZM77" s="139"/>
      <c r="DZN77" s="139"/>
      <c r="DZO77" s="139"/>
      <c r="DZP77" s="139"/>
      <c r="DZQ77" s="139"/>
      <c r="DZR77" s="139"/>
      <c r="DZS77" s="139"/>
      <c r="DZT77" s="139"/>
      <c r="DZU77" s="139"/>
      <c r="DZV77" s="139"/>
      <c r="DZW77" s="139"/>
      <c r="DZX77" s="139"/>
      <c r="DZY77" s="139"/>
      <c r="DZZ77" s="139"/>
      <c r="EAA77" s="139"/>
      <c r="EAB77" s="139"/>
      <c r="EAC77" s="139"/>
      <c r="EAD77" s="139"/>
      <c r="EAE77" s="139"/>
      <c r="EAF77" s="139"/>
      <c r="EAG77" s="139"/>
      <c r="EAH77" s="139"/>
      <c r="EAI77" s="139"/>
      <c r="EAJ77" s="139"/>
      <c r="EAK77" s="139"/>
      <c r="EAL77" s="139"/>
      <c r="EAM77" s="139"/>
      <c r="EAN77" s="139"/>
      <c r="EAO77" s="139"/>
      <c r="EAP77" s="139"/>
      <c r="EAQ77" s="139"/>
      <c r="EAR77" s="139"/>
      <c r="EAS77" s="139"/>
      <c r="EAT77" s="139"/>
      <c r="EAU77" s="139"/>
      <c r="EAV77" s="139"/>
      <c r="EAW77" s="139"/>
      <c r="EAX77" s="139"/>
      <c r="EAY77" s="139"/>
      <c r="EAZ77" s="139"/>
      <c r="EBA77" s="139"/>
      <c r="EBB77" s="139"/>
      <c r="EBC77" s="139"/>
      <c r="EBD77" s="139"/>
      <c r="EBE77" s="139"/>
      <c r="EBF77" s="139"/>
      <c r="EBG77" s="139"/>
      <c r="EBH77" s="139"/>
      <c r="EBI77" s="139"/>
      <c r="EBJ77" s="139"/>
      <c r="EBK77" s="139"/>
      <c r="EBL77" s="139"/>
      <c r="EBM77" s="139"/>
      <c r="EBN77" s="139"/>
      <c r="EBO77" s="139"/>
      <c r="EBP77" s="139"/>
      <c r="EBQ77" s="139"/>
      <c r="EBR77" s="139"/>
      <c r="EBS77" s="139"/>
      <c r="EBT77" s="139"/>
      <c r="EBU77" s="139"/>
      <c r="EBV77" s="139"/>
      <c r="EBW77" s="139"/>
      <c r="EBX77" s="139"/>
      <c r="EBY77" s="139"/>
      <c r="EBZ77" s="139"/>
      <c r="ECA77" s="139"/>
      <c r="ECB77" s="139"/>
      <c r="ECC77" s="139"/>
      <c r="ECD77" s="139"/>
      <c r="ECE77" s="139"/>
      <c r="ECF77" s="139"/>
      <c r="ECG77" s="139"/>
      <c r="ECH77" s="139"/>
      <c r="ECI77" s="139"/>
      <c r="ECJ77" s="139"/>
      <c r="ECK77" s="139"/>
      <c r="ECL77" s="139"/>
      <c r="ECM77" s="139"/>
      <c r="ECN77" s="139"/>
      <c r="ECO77" s="139"/>
      <c r="ECP77" s="139"/>
      <c r="ECQ77" s="139"/>
      <c r="ECR77" s="139"/>
      <c r="ECS77" s="139"/>
      <c r="ECT77" s="139"/>
      <c r="ECU77" s="139"/>
      <c r="ECV77" s="139"/>
      <c r="ECW77" s="139"/>
      <c r="ECX77" s="139"/>
      <c r="ECY77" s="139"/>
      <c r="ECZ77" s="139"/>
      <c r="EDA77" s="139"/>
      <c r="EDB77" s="139"/>
      <c r="EDC77" s="139"/>
      <c r="EDD77" s="139"/>
      <c r="EDE77" s="139"/>
      <c r="EDF77" s="139"/>
      <c r="EDG77" s="139"/>
      <c r="EDH77" s="139"/>
      <c r="EDI77" s="139"/>
      <c r="EDJ77" s="139"/>
      <c r="EDK77" s="139"/>
      <c r="EDL77" s="139"/>
      <c r="EDM77" s="139"/>
      <c r="EDN77" s="139"/>
      <c r="EDO77" s="139"/>
      <c r="EDP77" s="139"/>
      <c r="EDQ77" s="139"/>
      <c r="EDR77" s="139"/>
      <c r="EDS77" s="139"/>
      <c r="EDT77" s="139"/>
      <c r="EDU77" s="139"/>
      <c r="EDV77" s="139"/>
      <c r="EDW77" s="139"/>
      <c r="EDX77" s="139"/>
      <c r="EDY77" s="139"/>
      <c r="EDZ77" s="139"/>
      <c r="EEA77" s="139"/>
      <c r="EEB77" s="139"/>
      <c r="EEC77" s="139"/>
      <c r="EED77" s="139"/>
      <c r="EEE77" s="139"/>
      <c r="EEF77" s="139"/>
      <c r="EEG77" s="139"/>
      <c r="EEH77" s="139"/>
      <c r="EEI77" s="139"/>
      <c r="EEJ77" s="139"/>
      <c r="EEK77" s="139"/>
      <c r="EEL77" s="139"/>
      <c r="EEM77" s="139"/>
      <c r="EEN77" s="139"/>
      <c r="EEO77" s="139"/>
      <c r="EEP77" s="139"/>
      <c r="EEQ77" s="139"/>
      <c r="EER77" s="139"/>
      <c r="EES77" s="139"/>
      <c r="EET77" s="139"/>
      <c r="EEU77" s="139"/>
      <c r="EEV77" s="139"/>
      <c r="EEW77" s="139"/>
      <c r="EEX77" s="139"/>
      <c r="EEY77" s="139"/>
      <c r="EEZ77" s="139"/>
      <c r="EFA77" s="139"/>
      <c r="EFB77" s="139"/>
      <c r="EFC77" s="139"/>
      <c r="EFD77" s="139"/>
      <c r="EFE77" s="139"/>
      <c r="EFF77" s="139"/>
      <c r="EFG77" s="139"/>
      <c r="EFH77" s="139"/>
      <c r="EFI77" s="139"/>
      <c r="EFJ77" s="139"/>
      <c r="EFK77" s="139"/>
      <c r="EFL77" s="139"/>
      <c r="EFM77" s="139"/>
      <c r="EFN77" s="139"/>
      <c r="EFO77" s="139"/>
      <c r="EFP77" s="139"/>
      <c r="EFQ77" s="139"/>
      <c r="EFR77" s="139"/>
      <c r="EFS77" s="139"/>
      <c r="EFT77" s="139"/>
      <c r="EFU77" s="139"/>
      <c r="EFV77" s="139"/>
      <c r="EFW77" s="139"/>
      <c r="EFX77" s="139"/>
      <c r="EFY77" s="139"/>
      <c r="EFZ77" s="139"/>
      <c r="EGA77" s="139"/>
      <c r="EGB77" s="139"/>
      <c r="EGC77" s="139"/>
      <c r="EGD77" s="139"/>
      <c r="EGE77" s="139"/>
      <c r="EGF77" s="139"/>
      <c r="EGG77" s="139"/>
      <c r="EGH77" s="139"/>
      <c r="EGI77" s="139"/>
      <c r="EGJ77" s="139"/>
      <c r="EGK77" s="139"/>
      <c r="EGL77" s="139"/>
      <c r="EGM77" s="139"/>
      <c r="EGN77" s="139"/>
      <c r="EGO77" s="139"/>
      <c r="EGP77" s="139"/>
      <c r="EGQ77" s="139"/>
      <c r="EGR77" s="139"/>
      <c r="EGS77" s="139"/>
      <c r="EGT77" s="139"/>
      <c r="EGU77" s="139"/>
      <c r="EGV77" s="139"/>
      <c r="EGW77" s="139"/>
      <c r="EGX77" s="139"/>
      <c r="EGY77" s="139"/>
      <c r="EGZ77" s="139"/>
      <c r="EHA77" s="139"/>
      <c r="EHB77" s="139"/>
      <c r="EHC77" s="139"/>
      <c r="EHD77" s="139"/>
      <c r="EHE77" s="139"/>
      <c r="EHF77" s="139"/>
      <c r="EHG77" s="139"/>
      <c r="EHH77" s="139"/>
      <c r="EHI77" s="139"/>
      <c r="EHJ77" s="139"/>
      <c r="EHK77" s="139"/>
      <c r="EHL77" s="139"/>
      <c r="EHM77" s="139"/>
      <c r="EHN77" s="139"/>
      <c r="EHO77" s="139"/>
      <c r="EHP77" s="139"/>
      <c r="EHQ77" s="139"/>
      <c r="EHR77" s="139"/>
      <c r="EHS77" s="139"/>
      <c r="EHT77" s="139"/>
      <c r="EHU77" s="139"/>
      <c r="EHV77" s="139"/>
      <c r="EHW77" s="139"/>
      <c r="EHX77" s="139"/>
      <c r="EHY77" s="139"/>
      <c r="EHZ77" s="139"/>
      <c r="EIA77" s="139"/>
      <c r="EIB77" s="139"/>
      <c r="EIC77" s="139"/>
      <c r="EID77" s="139"/>
      <c r="EIE77" s="139"/>
      <c r="EIF77" s="139"/>
      <c r="EIG77" s="139"/>
      <c r="EIH77" s="139"/>
      <c r="EII77" s="139"/>
      <c r="EIJ77" s="139"/>
      <c r="EIK77" s="139"/>
      <c r="EIL77" s="139"/>
      <c r="EIM77" s="139"/>
      <c r="EIN77" s="139"/>
      <c r="EIO77" s="139"/>
      <c r="EIP77" s="139"/>
      <c r="EIQ77" s="139"/>
      <c r="EIR77" s="139"/>
      <c r="EIS77" s="139"/>
      <c r="EIT77" s="139"/>
      <c r="EIU77" s="139"/>
      <c r="EIV77" s="139"/>
      <c r="EIW77" s="139"/>
      <c r="EIX77" s="139"/>
      <c r="EIY77" s="139"/>
      <c r="EIZ77" s="139"/>
      <c r="EJA77" s="139"/>
      <c r="EJB77" s="139"/>
      <c r="EJC77" s="139"/>
      <c r="EJD77" s="139"/>
      <c r="EJE77" s="139"/>
      <c r="EJF77" s="139"/>
      <c r="EJG77" s="139"/>
      <c r="EJH77" s="139"/>
      <c r="EJI77" s="139"/>
      <c r="EJJ77" s="139"/>
      <c r="EJK77" s="139"/>
      <c r="EJL77" s="139"/>
      <c r="EJM77" s="139"/>
      <c r="EJN77" s="139"/>
      <c r="EJO77" s="139"/>
      <c r="EJP77" s="139"/>
      <c r="EJQ77" s="139"/>
      <c r="EJR77" s="139"/>
      <c r="EJS77" s="139"/>
      <c r="EJT77" s="139"/>
      <c r="EJU77" s="139"/>
      <c r="EJV77" s="139"/>
      <c r="EJW77" s="139"/>
      <c r="EJX77" s="139"/>
      <c r="EJY77" s="139"/>
      <c r="EJZ77" s="139"/>
      <c r="EKA77" s="139"/>
      <c r="EKB77" s="139"/>
      <c r="EKC77" s="139"/>
      <c r="EKD77" s="139"/>
      <c r="EKE77" s="139"/>
      <c r="EKF77" s="139"/>
      <c r="EKG77" s="139"/>
      <c r="EKH77" s="139"/>
      <c r="EKI77" s="139"/>
      <c r="EKJ77" s="139"/>
      <c r="EKK77" s="139"/>
      <c r="EKL77" s="139"/>
      <c r="EKM77" s="139"/>
      <c r="EKN77" s="139"/>
      <c r="EKO77" s="139"/>
      <c r="EKP77" s="139"/>
      <c r="EKQ77" s="139"/>
      <c r="EKR77" s="139"/>
      <c r="EKS77" s="139"/>
      <c r="EKT77" s="139"/>
      <c r="EKU77" s="139"/>
      <c r="EKV77" s="139"/>
      <c r="EKW77" s="139"/>
      <c r="EKX77" s="139"/>
      <c r="EKY77" s="139"/>
      <c r="EKZ77" s="139"/>
      <c r="ELA77" s="139"/>
      <c r="ELB77" s="139"/>
      <c r="ELC77" s="139"/>
      <c r="ELD77" s="139"/>
      <c r="ELE77" s="139"/>
      <c r="ELF77" s="139"/>
      <c r="ELG77" s="139"/>
      <c r="ELH77" s="139"/>
      <c r="ELI77" s="139"/>
      <c r="ELJ77" s="139"/>
      <c r="ELK77" s="139"/>
      <c r="ELL77" s="139"/>
      <c r="ELM77" s="139"/>
      <c r="ELN77" s="139"/>
      <c r="ELO77" s="139"/>
      <c r="ELP77" s="139"/>
      <c r="ELQ77" s="139"/>
      <c r="ELR77" s="139"/>
      <c r="ELS77" s="139"/>
      <c r="ELT77" s="139"/>
      <c r="ELU77" s="139"/>
      <c r="ELV77" s="139"/>
      <c r="ELW77" s="139"/>
      <c r="ELX77" s="139"/>
      <c r="ELY77" s="139"/>
      <c r="ELZ77" s="139"/>
      <c r="EMA77" s="139"/>
      <c r="EMB77" s="139"/>
      <c r="EMC77" s="139"/>
      <c r="EMD77" s="139"/>
      <c r="EME77" s="139"/>
      <c r="EMF77" s="139"/>
      <c r="EMG77" s="139"/>
      <c r="EMH77" s="139"/>
      <c r="EMI77" s="139"/>
      <c r="EMJ77" s="139"/>
      <c r="EMK77" s="139"/>
      <c r="EML77" s="139"/>
      <c r="EMM77" s="139"/>
      <c r="EMN77" s="139"/>
      <c r="EMO77" s="139"/>
      <c r="EMP77" s="139"/>
      <c r="EMQ77" s="139"/>
      <c r="EMR77" s="139"/>
      <c r="EMS77" s="139"/>
      <c r="EMT77" s="139"/>
      <c r="EMU77" s="139"/>
      <c r="EMV77" s="139"/>
      <c r="EMW77" s="139"/>
      <c r="EMX77" s="139"/>
      <c r="EMY77" s="139"/>
      <c r="EMZ77" s="139"/>
      <c r="ENA77" s="139"/>
      <c r="ENB77" s="139"/>
      <c r="ENC77" s="139"/>
      <c r="END77" s="139"/>
      <c r="ENE77" s="139"/>
      <c r="ENF77" s="139"/>
      <c r="ENG77" s="139"/>
      <c r="ENH77" s="139"/>
      <c r="ENI77" s="139"/>
      <c r="ENJ77" s="139"/>
      <c r="ENK77" s="139"/>
      <c r="ENL77" s="139"/>
      <c r="ENM77" s="139"/>
      <c r="ENN77" s="139"/>
      <c r="ENO77" s="139"/>
      <c r="ENP77" s="139"/>
      <c r="ENQ77" s="139"/>
      <c r="ENR77" s="139"/>
      <c r="ENS77" s="139"/>
      <c r="ENT77" s="139"/>
      <c r="ENU77" s="139"/>
      <c r="ENV77" s="139"/>
      <c r="ENW77" s="139"/>
      <c r="ENX77" s="139"/>
      <c r="ENY77" s="139"/>
      <c r="ENZ77" s="139"/>
      <c r="EOA77" s="139"/>
      <c r="EOB77" s="139"/>
      <c r="EOC77" s="139"/>
      <c r="EOD77" s="139"/>
      <c r="EOE77" s="139"/>
      <c r="EOF77" s="139"/>
      <c r="EOG77" s="139"/>
      <c r="EOH77" s="139"/>
      <c r="EOI77" s="139"/>
      <c r="EOJ77" s="139"/>
      <c r="EOK77" s="139"/>
      <c r="EOL77" s="139"/>
      <c r="EOM77" s="139"/>
      <c r="EON77" s="139"/>
      <c r="EOO77" s="139"/>
      <c r="EOP77" s="139"/>
      <c r="EOQ77" s="139"/>
      <c r="EOR77" s="139"/>
      <c r="EOS77" s="139"/>
      <c r="EOT77" s="139"/>
      <c r="EOU77" s="139"/>
      <c r="EOV77" s="139"/>
      <c r="EOW77" s="139"/>
      <c r="EOX77" s="139"/>
      <c r="EOY77" s="139"/>
      <c r="EOZ77" s="139"/>
      <c r="EPA77" s="139"/>
      <c r="EPB77" s="139"/>
      <c r="EPC77" s="139"/>
      <c r="EPD77" s="139"/>
      <c r="EPE77" s="139"/>
      <c r="EPF77" s="139"/>
      <c r="EPG77" s="139"/>
      <c r="EPH77" s="139"/>
      <c r="EPI77" s="139"/>
      <c r="EPJ77" s="139"/>
      <c r="EPK77" s="139"/>
      <c r="EPL77" s="139"/>
      <c r="EPM77" s="139"/>
      <c r="EPN77" s="139"/>
      <c r="EPO77" s="139"/>
      <c r="EPP77" s="139"/>
      <c r="EPQ77" s="139"/>
      <c r="EPR77" s="139"/>
      <c r="EPS77" s="139"/>
      <c r="EPT77" s="139"/>
      <c r="EPU77" s="139"/>
      <c r="EPV77" s="139"/>
      <c r="EPW77" s="139"/>
      <c r="EPX77" s="139"/>
      <c r="EPY77" s="139"/>
      <c r="EPZ77" s="139"/>
      <c r="EQA77" s="139"/>
      <c r="EQB77" s="139"/>
      <c r="EQC77" s="139"/>
      <c r="EQD77" s="139"/>
      <c r="EQE77" s="139"/>
      <c r="EQF77" s="139"/>
      <c r="EQG77" s="139"/>
      <c r="EQH77" s="139"/>
      <c r="EQI77" s="139"/>
      <c r="EQJ77" s="139"/>
      <c r="EQK77" s="139"/>
      <c r="EQL77" s="139"/>
      <c r="EQM77" s="139"/>
      <c r="EQN77" s="139"/>
      <c r="EQO77" s="139"/>
      <c r="EQP77" s="139"/>
      <c r="EQQ77" s="139"/>
      <c r="EQR77" s="139"/>
      <c r="EQS77" s="139"/>
      <c r="EQT77" s="139"/>
      <c r="EQU77" s="139"/>
      <c r="EQV77" s="139"/>
      <c r="EQW77" s="139"/>
      <c r="EQX77" s="139"/>
      <c r="EQY77" s="139"/>
      <c r="EQZ77" s="139"/>
      <c r="ERA77" s="139"/>
      <c r="ERB77" s="139"/>
      <c r="ERC77" s="139"/>
      <c r="ERD77" s="139"/>
      <c r="ERE77" s="139"/>
      <c r="ERF77" s="139"/>
      <c r="ERG77" s="139"/>
      <c r="ERH77" s="139"/>
      <c r="ERI77" s="139"/>
      <c r="ERJ77" s="139"/>
      <c r="ERK77" s="139"/>
      <c r="ERL77" s="139"/>
      <c r="ERM77" s="139"/>
      <c r="ERN77" s="139"/>
      <c r="ERO77" s="139"/>
      <c r="ERP77" s="139"/>
      <c r="ERQ77" s="139"/>
      <c r="ERR77" s="139"/>
      <c r="ERS77" s="139"/>
      <c r="ERT77" s="139"/>
      <c r="ERU77" s="139"/>
      <c r="ERV77" s="139"/>
      <c r="ERW77" s="139"/>
      <c r="ERX77" s="139"/>
      <c r="ERY77" s="139"/>
      <c r="ERZ77" s="139"/>
      <c r="ESA77" s="139"/>
      <c r="ESB77" s="139"/>
      <c r="ESC77" s="139"/>
      <c r="ESD77" s="139"/>
      <c r="ESE77" s="139"/>
      <c r="ESF77" s="139"/>
      <c r="ESG77" s="139"/>
      <c r="ESH77" s="139"/>
      <c r="ESI77" s="139"/>
      <c r="ESJ77" s="139"/>
      <c r="ESK77" s="139"/>
      <c r="ESL77" s="139"/>
      <c r="ESM77" s="139"/>
      <c r="ESN77" s="139"/>
      <c r="ESO77" s="139"/>
      <c r="ESP77" s="139"/>
      <c r="ESQ77" s="139"/>
      <c r="ESR77" s="139"/>
      <c r="ESS77" s="139"/>
      <c r="EST77" s="139"/>
      <c r="ESU77" s="139"/>
      <c r="ESV77" s="139"/>
      <c r="ESW77" s="139"/>
      <c r="ESX77" s="139"/>
      <c r="ESY77" s="139"/>
      <c r="ESZ77" s="139"/>
      <c r="ETA77" s="139"/>
      <c r="ETB77" s="139"/>
      <c r="ETC77" s="139"/>
      <c r="ETD77" s="139"/>
      <c r="ETE77" s="139"/>
      <c r="ETF77" s="139"/>
      <c r="ETG77" s="139"/>
      <c r="ETH77" s="139"/>
      <c r="ETI77" s="139"/>
      <c r="ETJ77" s="139"/>
      <c r="ETK77" s="139"/>
      <c r="ETL77" s="139"/>
      <c r="ETM77" s="139"/>
      <c r="ETN77" s="139"/>
      <c r="ETO77" s="139"/>
      <c r="ETP77" s="139"/>
      <c r="ETQ77" s="139"/>
      <c r="ETR77" s="139"/>
      <c r="ETS77" s="139"/>
      <c r="ETT77" s="139"/>
      <c r="ETU77" s="139"/>
      <c r="ETV77" s="139"/>
      <c r="ETW77" s="139"/>
      <c r="ETX77" s="139"/>
      <c r="ETY77" s="139"/>
      <c r="ETZ77" s="139"/>
      <c r="EUA77" s="139"/>
      <c r="EUB77" s="139"/>
      <c r="EUC77" s="139"/>
      <c r="EUD77" s="139"/>
      <c r="EUE77" s="139"/>
      <c r="EUF77" s="139"/>
      <c r="EUG77" s="139"/>
      <c r="EUH77" s="139"/>
      <c r="EUI77" s="139"/>
      <c r="EUJ77" s="139"/>
      <c r="EUK77" s="139"/>
      <c r="EUL77" s="139"/>
      <c r="EUM77" s="139"/>
      <c r="EUN77" s="139"/>
      <c r="EUO77" s="139"/>
      <c r="EUP77" s="139"/>
      <c r="EUQ77" s="139"/>
      <c r="EUR77" s="139"/>
      <c r="EUS77" s="139"/>
      <c r="EUT77" s="139"/>
      <c r="EUU77" s="139"/>
      <c r="EUV77" s="139"/>
      <c r="EUW77" s="139"/>
      <c r="EUX77" s="139"/>
      <c r="EUY77" s="139"/>
      <c r="EUZ77" s="139"/>
      <c r="EVA77" s="139"/>
      <c r="EVB77" s="139"/>
      <c r="EVC77" s="139"/>
      <c r="EVD77" s="139"/>
      <c r="EVE77" s="139"/>
      <c r="EVF77" s="139"/>
      <c r="EVG77" s="139"/>
      <c r="EVH77" s="139"/>
      <c r="EVI77" s="139"/>
      <c r="EVJ77" s="139"/>
      <c r="EVK77" s="139"/>
      <c r="EVL77" s="139"/>
      <c r="EVM77" s="139"/>
      <c r="EVN77" s="139"/>
      <c r="EVO77" s="139"/>
      <c r="EVP77" s="139"/>
      <c r="EVQ77" s="139"/>
      <c r="EVR77" s="139"/>
      <c r="EVS77" s="139"/>
      <c r="EVT77" s="139"/>
      <c r="EVU77" s="139"/>
      <c r="EVV77" s="139"/>
      <c r="EVW77" s="139"/>
      <c r="EVX77" s="139"/>
      <c r="EVY77" s="139"/>
      <c r="EVZ77" s="139"/>
      <c r="EWA77" s="139"/>
      <c r="EWB77" s="139"/>
      <c r="EWC77" s="139"/>
      <c r="EWD77" s="139"/>
      <c r="EWE77" s="139"/>
      <c r="EWF77" s="139"/>
      <c r="EWG77" s="139"/>
      <c r="EWH77" s="139"/>
      <c r="EWI77" s="139"/>
      <c r="EWJ77" s="139"/>
      <c r="EWK77" s="139"/>
      <c r="EWL77" s="139"/>
      <c r="EWM77" s="139"/>
      <c r="EWN77" s="139"/>
      <c r="EWO77" s="139"/>
      <c r="EWP77" s="139"/>
      <c r="EWQ77" s="139"/>
      <c r="EWR77" s="139"/>
      <c r="EWS77" s="139"/>
      <c r="EWT77" s="139"/>
      <c r="EWU77" s="139"/>
      <c r="EWV77" s="139"/>
      <c r="EWW77" s="139"/>
      <c r="EWX77" s="139"/>
      <c r="EWY77" s="139"/>
      <c r="EWZ77" s="139"/>
      <c r="EXA77" s="139"/>
      <c r="EXB77" s="139"/>
      <c r="EXC77" s="139"/>
      <c r="EXD77" s="139"/>
      <c r="EXE77" s="139"/>
      <c r="EXF77" s="139"/>
      <c r="EXG77" s="139"/>
      <c r="EXH77" s="139"/>
      <c r="EXI77" s="139"/>
      <c r="EXJ77" s="139"/>
      <c r="EXK77" s="139"/>
      <c r="EXL77" s="139"/>
      <c r="EXM77" s="139"/>
      <c r="EXN77" s="139"/>
      <c r="EXO77" s="139"/>
      <c r="EXP77" s="139"/>
      <c r="EXQ77" s="139"/>
      <c r="EXR77" s="139"/>
      <c r="EXS77" s="139"/>
      <c r="EXT77" s="139"/>
      <c r="EXU77" s="139"/>
      <c r="EXV77" s="139"/>
      <c r="EXW77" s="139"/>
      <c r="EXX77" s="139"/>
      <c r="EXY77" s="139"/>
      <c r="EXZ77" s="139"/>
      <c r="EYA77" s="139"/>
      <c r="EYB77" s="139"/>
      <c r="EYC77" s="139"/>
      <c r="EYD77" s="139"/>
      <c r="EYE77" s="139"/>
      <c r="EYF77" s="139"/>
      <c r="EYG77" s="139"/>
      <c r="EYH77" s="139"/>
      <c r="EYI77" s="139"/>
      <c r="EYJ77" s="139"/>
      <c r="EYK77" s="139"/>
      <c r="EYL77" s="139"/>
      <c r="EYM77" s="139"/>
      <c r="EYN77" s="139"/>
      <c r="EYO77" s="139"/>
      <c r="EYP77" s="139"/>
      <c r="EYQ77" s="139"/>
      <c r="EYR77" s="139"/>
      <c r="EYS77" s="139"/>
      <c r="EYT77" s="139"/>
      <c r="EYU77" s="139"/>
      <c r="EYV77" s="139"/>
      <c r="EYW77" s="139"/>
      <c r="EYX77" s="139"/>
      <c r="EYY77" s="139"/>
      <c r="EYZ77" s="139"/>
      <c r="EZA77" s="139"/>
      <c r="EZB77" s="139"/>
      <c r="EZC77" s="139"/>
      <c r="EZD77" s="139"/>
      <c r="EZE77" s="139"/>
      <c r="EZF77" s="139"/>
      <c r="EZG77" s="139"/>
      <c r="EZH77" s="139"/>
      <c r="EZI77" s="139"/>
      <c r="EZJ77" s="139"/>
      <c r="EZK77" s="139"/>
      <c r="EZL77" s="139"/>
      <c r="EZM77" s="139"/>
      <c r="EZN77" s="139"/>
      <c r="EZO77" s="139"/>
      <c r="EZP77" s="139"/>
      <c r="EZQ77" s="139"/>
      <c r="EZR77" s="139"/>
      <c r="EZS77" s="139"/>
      <c r="EZT77" s="139"/>
      <c r="EZU77" s="139"/>
      <c r="EZV77" s="139"/>
      <c r="EZW77" s="139"/>
      <c r="EZX77" s="139"/>
      <c r="EZY77" s="139"/>
      <c r="EZZ77" s="139"/>
      <c r="FAA77" s="139"/>
      <c r="FAB77" s="139"/>
      <c r="FAC77" s="139"/>
      <c r="FAD77" s="139"/>
      <c r="FAE77" s="139"/>
      <c r="FAF77" s="139"/>
      <c r="FAG77" s="139"/>
      <c r="FAH77" s="139"/>
      <c r="FAI77" s="139"/>
      <c r="FAJ77" s="139"/>
      <c r="FAK77" s="139"/>
      <c r="FAL77" s="139"/>
      <c r="FAM77" s="139"/>
      <c r="FAN77" s="139"/>
      <c r="FAO77" s="139"/>
      <c r="FAP77" s="139"/>
      <c r="FAQ77" s="139"/>
      <c r="FAR77" s="139"/>
      <c r="FAS77" s="139"/>
      <c r="FAT77" s="139"/>
      <c r="FAU77" s="139"/>
      <c r="FAV77" s="139"/>
      <c r="FAW77" s="139"/>
      <c r="FAX77" s="139"/>
      <c r="FAY77" s="139"/>
      <c r="FAZ77" s="139"/>
      <c r="FBA77" s="139"/>
      <c r="FBB77" s="139"/>
      <c r="FBC77" s="139"/>
      <c r="FBD77" s="139"/>
      <c r="FBE77" s="139"/>
      <c r="FBF77" s="139"/>
      <c r="FBG77" s="139"/>
      <c r="FBH77" s="139"/>
      <c r="FBI77" s="139"/>
      <c r="FBJ77" s="139"/>
      <c r="FBK77" s="139"/>
      <c r="FBL77" s="139"/>
      <c r="FBM77" s="139"/>
      <c r="FBN77" s="139"/>
      <c r="FBO77" s="139"/>
      <c r="FBP77" s="139"/>
      <c r="FBQ77" s="139"/>
      <c r="FBR77" s="139"/>
      <c r="FBS77" s="139"/>
      <c r="FBT77" s="139"/>
      <c r="FBU77" s="139"/>
      <c r="FBV77" s="139"/>
      <c r="FBW77" s="139"/>
      <c r="FBX77" s="139"/>
      <c r="FBY77" s="139"/>
      <c r="FBZ77" s="139"/>
      <c r="FCA77" s="139"/>
      <c r="FCB77" s="139"/>
      <c r="FCC77" s="139"/>
      <c r="FCD77" s="139"/>
      <c r="FCE77" s="139"/>
      <c r="FCF77" s="139"/>
      <c r="FCG77" s="139"/>
      <c r="FCH77" s="139"/>
      <c r="FCI77" s="139"/>
      <c r="FCJ77" s="139"/>
      <c r="FCK77" s="139"/>
      <c r="FCL77" s="139"/>
      <c r="FCM77" s="139"/>
      <c r="FCN77" s="139"/>
      <c r="FCO77" s="139"/>
      <c r="FCP77" s="139"/>
      <c r="FCQ77" s="139"/>
      <c r="FCR77" s="139"/>
      <c r="FCS77" s="139"/>
      <c r="FCT77" s="139"/>
      <c r="FCU77" s="139"/>
      <c r="FCV77" s="139"/>
      <c r="FCW77" s="139"/>
      <c r="FCX77" s="139"/>
      <c r="FCY77" s="139"/>
      <c r="FCZ77" s="139"/>
      <c r="FDA77" s="139"/>
      <c r="FDB77" s="139"/>
      <c r="FDC77" s="139"/>
      <c r="FDD77" s="139"/>
      <c r="FDE77" s="139"/>
      <c r="FDF77" s="139"/>
      <c r="FDG77" s="139"/>
      <c r="FDH77" s="139"/>
      <c r="FDI77" s="139"/>
      <c r="FDJ77" s="139"/>
      <c r="FDK77" s="139"/>
      <c r="FDL77" s="139"/>
      <c r="FDM77" s="139"/>
      <c r="FDN77" s="139"/>
      <c r="FDO77" s="139"/>
      <c r="FDP77" s="139"/>
      <c r="FDQ77" s="139"/>
      <c r="FDR77" s="139"/>
      <c r="FDS77" s="139"/>
      <c r="FDT77" s="139"/>
      <c r="FDU77" s="139"/>
      <c r="FDV77" s="139"/>
      <c r="FDW77" s="139"/>
      <c r="FDX77" s="139"/>
      <c r="FDY77" s="139"/>
      <c r="FDZ77" s="139"/>
      <c r="FEA77" s="139"/>
      <c r="FEB77" s="139"/>
      <c r="FEC77" s="139"/>
      <c r="FED77" s="139"/>
      <c r="FEE77" s="139"/>
      <c r="FEF77" s="139"/>
      <c r="FEG77" s="139"/>
      <c r="FEH77" s="139"/>
      <c r="FEI77" s="139"/>
      <c r="FEJ77" s="139"/>
      <c r="FEK77" s="139"/>
      <c r="FEL77" s="139"/>
      <c r="FEM77" s="139"/>
      <c r="FEN77" s="139"/>
      <c r="FEO77" s="139"/>
      <c r="FEP77" s="139"/>
      <c r="FEQ77" s="139"/>
      <c r="FER77" s="139"/>
      <c r="FES77" s="139"/>
      <c r="FET77" s="139"/>
      <c r="FEU77" s="139"/>
      <c r="FEV77" s="139"/>
      <c r="FEW77" s="139"/>
      <c r="FEX77" s="139"/>
      <c r="FEY77" s="139"/>
      <c r="FEZ77" s="139"/>
      <c r="FFA77" s="139"/>
      <c r="FFB77" s="139"/>
      <c r="FFC77" s="139"/>
      <c r="FFD77" s="139"/>
      <c r="FFE77" s="139"/>
      <c r="FFF77" s="139"/>
      <c r="FFG77" s="139"/>
      <c r="FFH77" s="139"/>
      <c r="FFI77" s="139"/>
      <c r="FFJ77" s="139"/>
      <c r="FFK77" s="139"/>
      <c r="FFL77" s="139"/>
      <c r="FFM77" s="139"/>
      <c r="FFN77" s="139"/>
      <c r="FFO77" s="139"/>
      <c r="FFP77" s="139"/>
      <c r="FFQ77" s="139"/>
      <c r="FFR77" s="139"/>
      <c r="FFS77" s="139"/>
      <c r="FFT77" s="139"/>
      <c r="FFU77" s="139"/>
      <c r="FFV77" s="139"/>
      <c r="FFW77" s="139"/>
      <c r="FFX77" s="139"/>
      <c r="FFY77" s="139"/>
      <c r="FFZ77" s="139"/>
      <c r="FGA77" s="139"/>
      <c r="FGB77" s="139"/>
      <c r="FGC77" s="139"/>
      <c r="FGD77" s="139"/>
      <c r="FGE77" s="139"/>
      <c r="FGF77" s="139"/>
      <c r="FGG77" s="139"/>
      <c r="FGH77" s="139"/>
      <c r="FGI77" s="139"/>
      <c r="FGJ77" s="139"/>
      <c r="FGK77" s="139"/>
      <c r="FGL77" s="139"/>
      <c r="FGM77" s="139"/>
      <c r="FGN77" s="139"/>
      <c r="FGO77" s="139"/>
      <c r="FGP77" s="139"/>
      <c r="FGQ77" s="139"/>
      <c r="FGR77" s="139"/>
      <c r="FGS77" s="139"/>
      <c r="FGT77" s="139"/>
      <c r="FGU77" s="139"/>
      <c r="FGV77" s="139"/>
      <c r="FGW77" s="139"/>
      <c r="FGX77" s="139"/>
      <c r="FGY77" s="139"/>
      <c r="FGZ77" s="139"/>
      <c r="FHA77" s="139"/>
      <c r="FHB77" s="139"/>
      <c r="FHC77" s="139"/>
      <c r="FHD77" s="139"/>
      <c r="FHE77" s="139"/>
      <c r="FHF77" s="139"/>
      <c r="FHG77" s="139"/>
      <c r="FHH77" s="139"/>
      <c r="FHI77" s="139"/>
      <c r="FHJ77" s="139"/>
      <c r="FHK77" s="139"/>
      <c r="FHL77" s="139"/>
      <c r="FHM77" s="139"/>
      <c r="FHN77" s="139"/>
      <c r="FHO77" s="139"/>
      <c r="FHP77" s="139"/>
      <c r="FHQ77" s="139"/>
      <c r="FHR77" s="139"/>
      <c r="FHS77" s="139"/>
      <c r="FHT77" s="139"/>
      <c r="FHU77" s="139"/>
      <c r="FHV77" s="139"/>
      <c r="FHW77" s="139"/>
      <c r="FHX77" s="139"/>
      <c r="FHY77" s="139"/>
      <c r="FHZ77" s="139"/>
      <c r="FIA77" s="139"/>
      <c r="FIB77" s="139"/>
      <c r="FIC77" s="139"/>
      <c r="FID77" s="139"/>
      <c r="FIE77" s="139"/>
      <c r="FIF77" s="139"/>
      <c r="FIG77" s="139"/>
      <c r="FIH77" s="139"/>
      <c r="FII77" s="139"/>
      <c r="FIJ77" s="139"/>
      <c r="FIK77" s="139"/>
      <c r="FIL77" s="139"/>
      <c r="FIM77" s="139"/>
      <c r="FIN77" s="139"/>
      <c r="FIO77" s="139"/>
      <c r="FIP77" s="139"/>
      <c r="FIQ77" s="139"/>
      <c r="FIR77" s="139"/>
      <c r="FIS77" s="139"/>
      <c r="FIT77" s="139"/>
      <c r="FIU77" s="139"/>
      <c r="FIV77" s="139"/>
      <c r="FIW77" s="139"/>
      <c r="FIX77" s="139"/>
      <c r="FIY77" s="139"/>
      <c r="FIZ77" s="139"/>
      <c r="FJA77" s="139"/>
      <c r="FJB77" s="139"/>
      <c r="FJC77" s="139"/>
      <c r="FJD77" s="139"/>
      <c r="FJE77" s="139"/>
      <c r="FJF77" s="139"/>
      <c r="FJG77" s="139"/>
      <c r="FJH77" s="139"/>
      <c r="FJI77" s="139"/>
      <c r="FJJ77" s="139"/>
      <c r="FJK77" s="139"/>
      <c r="FJL77" s="139"/>
      <c r="FJM77" s="139"/>
      <c r="FJN77" s="139"/>
      <c r="FJO77" s="139"/>
      <c r="FJP77" s="139"/>
      <c r="FJQ77" s="139"/>
      <c r="FJR77" s="139"/>
      <c r="FJS77" s="139"/>
      <c r="FJT77" s="139"/>
      <c r="FJU77" s="139"/>
      <c r="FJV77" s="139"/>
      <c r="FJW77" s="139"/>
      <c r="FJX77" s="139"/>
      <c r="FJY77" s="139"/>
      <c r="FJZ77" s="139"/>
      <c r="FKA77" s="139"/>
      <c r="FKB77" s="139"/>
      <c r="FKC77" s="139"/>
      <c r="FKD77" s="139"/>
      <c r="FKE77" s="139"/>
      <c r="FKF77" s="139"/>
      <c r="FKG77" s="139"/>
      <c r="FKH77" s="139"/>
      <c r="FKI77" s="139"/>
      <c r="FKJ77" s="139"/>
      <c r="FKK77" s="139"/>
      <c r="FKL77" s="139"/>
      <c r="FKM77" s="139"/>
      <c r="FKN77" s="139"/>
      <c r="FKO77" s="139"/>
      <c r="FKP77" s="139"/>
      <c r="FKQ77" s="139"/>
      <c r="FKR77" s="139"/>
      <c r="FKS77" s="139"/>
      <c r="FKT77" s="139"/>
      <c r="FKU77" s="139"/>
      <c r="FKV77" s="139"/>
      <c r="FKW77" s="139"/>
      <c r="FKX77" s="139"/>
      <c r="FKY77" s="139"/>
      <c r="FKZ77" s="139"/>
      <c r="FLA77" s="139"/>
      <c r="FLB77" s="139"/>
      <c r="FLC77" s="139"/>
      <c r="FLD77" s="139"/>
      <c r="FLE77" s="139"/>
      <c r="FLF77" s="139"/>
      <c r="FLG77" s="139"/>
      <c r="FLH77" s="139"/>
      <c r="FLI77" s="139"/>
      <c r="FLJ77" s="139"/>
      <c r="FLK77" s="139"/>
      <c r="FLL77" s="139"/>
      <c r="FLM77" s="139"/>
      <c r="FLN77" s="139"/>
      <c r="FLO77" s="139"/>
      <c r="FLP77" s="139"/>
      <c r="FLQ77" s="139"/>
      <c r="FLR77" s="139"/>
      <c r="FLS77" s="139"/>
      <c r="FLT77" s="139"/>
      <c r="FLU77" s="139"/>
      <c r="FLV77" s="139"/>
      <c r="FLW77" s="139"/>
      <c r="FLX77" s="139"/>
      <c r="FLY77" s="139"/>
      <c r="FLZ77" s="139"/>
      <c r="FMA77" s="139"/>
      <c r="FMB77" s="139"/>
      <c r="FMC77" s="139"/>
      <c r="FMD77" s="139"/>
      <c r="FME77" s="139"/>
      <c r="FMF77" s="139"/>
      <c r="FMG77" s="139"/>
      <c r="FMH77" s="139"/>
      <c r="FMI77" s="139"/>
      <c r="FMJ77" s="139"/>
      <c r="FMK77" s="139"/>
      <c r="FML77" s="139"/>
      <c r="FMM77" s="139"/>
      <c r="FMN77" s="139"/>
      <c r="FMO77" s="139"/>
      <c r="FMP77" s="139"/>
      <c r="FMQ77" s="139"/>
      <c r="FMR77" s="139"/>
      <c r="FMS77" s="139"/>
      <c r="FMT77" s="139"/>
      <c r="FMU77" s="139"/>
      <c r="FMV77" s="139"/>
      <c r="FMW77" s="139"/>
      <c r="FMX77" s="139"/>
      <c r="FMY77" s="139"/>
      <c r="FMZ77" s="139"/>
      <c r="FNA77" s="139"/>
      <c r="FNB77" s="139"/>
      <c r="FNC77" s="139"/>
      <c r="FND77" s="139"/>
      <c r="FNE77" s="139"/>
      <c r="FNF77" s="139"/>
      <c r="FNG77" s="139"/>
      <c r="FNH77" s="139"/>
      <c r="FNI77" s="139"/>
      <c r="FNJ77" s="139"/>
      <c r="FNK77" s="139"/>
      <c r="FNL77" s="139"/>
      <c r="FNM77" s="139"/>
      <c r="FNN77" s="139"/>
      <c r="FNO77" s="139"/>
      <c r="FNP77" s="139"/>
      <c r="FNQ77" s="139"/>
      <c r="FNR77" s="139"/>
      <c r="FNS77" s="139"/>
      <c r="FNT77" s="139"/>
      <c r="FNU77" s="139"/>
      <c r="FNV77" s="139"/>
      <c r="FNW77" s="139"/>
      <c r="FNX77" s="139"/>
      <c r="FNY77" s="139"/>
      <c r="FNZ77" s="139"/>
      <c r="FOA77" s="139"/>
      <c r="FOB77" s="139"/>
      <c r="FOC77" s="139"/>
      <c r="FOD77" s="139"/>
      <c r="FOE77" s="139"/>
      <c r="FOF77" s="139"/>
      <c r="FOG77" s="139"/>
      <c r="FOH77" s="139"/>
      <c r="FOI77" s="139"/>
      <c r="FOJ77" s="139"/>
      <c r="FOK77" s="139"/>
      <c r="FOL77" s="139"/>
      <c r="FOM77" s="139"/>
      <c r="FON77" s="139"/>
      <c r="FOO77" s="139"/>
      <c r="FOP77" s="139"/>
      <c r="FOQ77" s="139"/>
      <c r="FOR77" s="139"/>
      <c r="FOS77" s="139"/>
      <c r="FOT77" s="139"/>
      <c r="FOU77" s="139"/>
      <c r="FOV77" s="139"/>
      <c r="FOW77" s="139"/>
      <c r="FOX77" s="139"/>
      <c r="FOY77" s="139"/>
      <c r="FOZ77" s="139"/>
      <c r="FPA77" s="139"/>
      <c r="FPB77" s="139"/>
      <c r="FPC77" s="139"/>
      <c r="FPD77" s="139"/>
      <c r="FPE77" s="139"/>
      <c r="FPF77" s="139"/>
      <c r="FPG77" s="139"/>
      <c r="FPH77" s="139"/>
      <c r="FPI77" s="139"/>
      <c r="FPJ77" s="139"/>
      <c r="FPK77" s="139"/>
      <c r="FPL77" s="139"/>
      <c r="FPM77" s="139"/>
      <c r="FPN77" s="139"/>
      <c r="FPO77" s="139"/>
      <c r="FPP77" s="139"/>
      <c r="FPQ77" s="139"/>
      <c r="FPR77" s="139"/>
      <c r="FPS77" s="139"/>
      <c r="FPT77" s="139"/>
      <c r="FPU77" s="139"/>
      <c r="FPV77" s="139"/>
      <c r="FPW77" s="139"/>
      <c r="FPX77" s="139"/>
      <c r="FPY77" s="139"/>
      <c r="FPZ77" s="139"/>
      <c r="FQA77" s="139"/>
      <c r="FQB77" s="139"/>
      <c r="FQC77" s="139"/>
      <c r="FQD77" s="139"/>
      <c r="FQE77" s="139"/>
      <c r="FQF77" s="139"/>
      <c r="FQG77" s="139"/>
      <c r="FQH77" s="139"/>
      <c r="FQI77" s="139"/>
      <c r="FQJ77" s="139"/>
      <c r="FQK77" s="139"/>
      <c r="FQL77" s="139"/>
      <c r="FQM77" s="139"/>
      <c r="FQN77" s="139"/>
      <c r="FQO77" s="139"/>
      <c r="FQP77" s="139"/>
      <c r="FQQ77" s="139"/>
      <c r="FQR77" s="139"/>
      <c r="FQS77" s="139"/>
      <c r="FQT77" s="139"/>
      <c r="FQU77" s="139"/>
      <c r="FQV77" s="139"/>
      <c r="FQW77" s="139"/>
      <c r="FQX77" s="139"/>
      <c r="FQY77" s="139"/>
      <c r="FQZ77" s="139"/>
      <c r="FRA77" s="139"/>
      <c r="FRB77" s="139"/>
      <c r="FRC77" s="139"/>
      <c r="FRD77" s="139"/>
      <c r="FRE77" s="139"/>
      <c r="FRF77" s="139"/>
      <c r="FRG77" s="139"/>
      <c r="FRH77" s="139"/>
      <c r="FRI77" s="139"/>
      <c r="FRJ77" s="139"/>
      <c r="FRK77" s="139"/>
      <c r="FRL77" s="139"/>
      <c r="FRM77" s="139"/>
      <c r="FRN77" s="139"/>
      <c r="FRO77" s="139"/>
      <c r="FRP77" s="139"/>
      <c r="FRQ77" s="139"/>
      <c r="FRR77" s="139"/>
      <c r="FRS77" s="139"/>
      <c r="FRT77" s="139"/>
      <c r="FRU77" s="139"/>
      <c r="FRV77" s="139"/>
      <c r="FRW77" s="139"/>
      <c r="FRX77" s="139"/>
      <c r="FRY77" s="139"/>
      <c r="FRZ77" s="139"/>
      <c r="FSA77" s="139"/>
      <c r="FSB77" s="139"/>
      <c r="FSC77" s="139"/>
      <c r="FSD77" s="139"/>
      <c r="FSE77" s="139"/>
      <c r="FSF77" s="139"/>
      <c r="FSG77" s="139"/>
      <c r="FSH77" s="139"/>
      <c r="FSI77" s="139"/>
      <c r="FSJ77" s="139"/>
      <c r="FSK77" s="139"/>
      <c r="FSL77" s="139"/>
      <c r="FSM77" s="139"/>
      <c r="FSN77" s="139"/>
      <c r="FSO77" s="139"/>
      <c r="FSP77" s="139"/>
      <c r="FSQ77" s="139"/>
      <c r="FSR77" s="139"/>
      <c r="FSS77" s="139"/>
      <c r="FST77" s="139"/>
      <c r="FSU77" s="139"/>
      <c r="FSV77" s="139"/>
      <c r="FSW77" s="139"/>
      <c r="FSX77" s="139"/>
      <c r="FSY77" s="139"/>
      <c r="FSZ77" s="139"/>
      <c r="FTA77" s="139"/>
      <c r="FTB77" s="139"/>
      <c r="FTC77" s="139"/>
      <c r="FTD77" s="139"/>
      <c r="FTE77" s="139"/>
      <c r="FTF77" s="139"/>
      <c r="FTG77" s="139"/>
      <c r="FTH77" s="139"/>
      <c r="FTI77" s="139"/>
      <c r="FTJ77" s="139"/>
      <c r="FTK77" s="139"/>
      <c r="FTL77" s="139"/>
      <c r="FTM77" s="139"/>
      <c r="FTN77" s="139"/>
      <c r="FTO77" s="139"/>
      <c r="FTP77" s="139"/>
      <c r="FTQ77" s="139"/>
      <c r="FTR77" s="139"/>
      <c r="FTS77" s="139"/>
      <c r="FTT77" s="139"/>
      <c r="FTU77" s="139"/>
      <c r="FTV77" s="139"/>
      <c r="FTW77" s="139"/>
      <c r="FTX77" s="139"/>
      <c r="FTY77" s="139"/>
      <c r="FTZ77" s="139"/>
      <c r="FUA77" s="139"/>
      <c r="FUB77" s="139"/>
      <c r="FUC77" s="139"/>
      <c r="FUD77" s="139"/>
      <c r="FUE77" s="139"/>
      <c r="FUF77" s="139"/>
      <c r="FUG77" s="139"/>
      <c r="FUH77" s="139"/>
      <c r="FUI77" s="139"/>
      <c r="FUJ77" s="139"/>
      <c r="FUK77" s="139"/>
      <c r="FUL77" s="139"/>
      <c r="FUM77" s="139"/>
      <c r="FUN77" s="139"/>
      <c r="FUO77" s="139"/>
      <c r="FUP77" s="139"/>
      <c r="FUQ77" s="139"/>
      <c r="FUR77" s="139"/>
      <c r="FUS77" s="139"/>
      <c r="FUT77" s="139"/>
      <c r="FUU77" s="139"/>
      <c r="FUV77" s="139"/>
      <c r="FUW77" s="139"/>
      <c r="FUX77" s="139"/>
      <c r="FUY77" s="139"/>
      <c r="FUZ77" s="139"/>
      <c r="FVA77" s="139"/>
      <c r="FVB77" s="139"/>
      <c r="FVC77" s="139"/>
      <c r="FVD77" s="139"/>
      <c r="FVE77" s="139"/>
      <c r="FVF77" s="139"/>
      <c r="FVG77" s="139"/>
      <c r="FVH77" s="139"/>
      <c r="FVI77" s="139"/>
      <c r="FVJ77" s="139"/>
      <c r="FVK77" s="139"/>
      <c r="FVL77" s="139"/>
      <c r="FVM77" s="139"/>
      <c r="FVN77" s="139"/>
      <c r="FVO77" s="139"/>
      <c r="FVP77" s="139"/>
      <c r="FVQ77" s="139"/>
      <c r="FVR77" s="139"/>
      <c r="FVS77" s="139"/>
      <c r="FVT77" s="139"/>
      <c r="FVU77" s="139"/>
      <c r="FVV77" s="139"/>
      <c r="FVW77" s="139"/>
      <c r="FVX77" s="139"/>
      <c r="FVY77" s="139"/>
      <c r="FVZ77" s="139"/>
      <c r="FWA77" s="139"/>
      <c r="FWB77" s="139"/>
      <c r="FWC77" s="139"/>
      <c r="FWD77" s="139"/>
      <c r="FWE77" s="139"/>
      <c r="FWF77" s="139"/>
      <c r="FWG77" s="139"/>
      <c r="FWH77" s="139"/>
      <c r="FWI77" s="139"/>
      <c r="FWJ77" s="139"/>
      <c r="FWK77" s="139"/>
      <c r="FWL77" s="139"/>
      <c r="FWM77" s="139"/>
      <c r="FWN77" s="139"/>
      <c r="FWO77" s="139"/>
      <c r="FWP77" s="139"/>
      <c r="FWQ77" s="139"/>
      <c r="FWR77" s="139"/>
      <c r="FWS77" s="139"/>
      <c r="FWT77" s="139"/>
      <c r="FWU77" s="139"/>
      <c r="FWV77" s="139"/>
      <c r="FWW77" s="139"/>
      <c r="FWX77" s="139"/>
      <c r="FWY77" s="139"/>
      <c r="FWZ77" s="139"/>
      <c r="FXA77" s="139"/>
      <c r="FXB77" s="139"/>
      <c r="FXC77" s="139"/>
      <c r="FXD77" s="139"/>
      <c r="FXE77" s="139"/>
      <c r="FXF77" s="139"/>
      <c r="FXG77" s="139"/>
      <c r="FXH77" s="139"/>
      <c r="FXI77" s="139"/>
      <c r="FXJ77" s="139"/>
      <c r="FXK77" s="139"/>
      <c r="FXL77" s="139"/>
      <c r="FXM77" s="139"/>
      <c r="FXN77" s="139"/>
      <c r="FXO77" s="139"/>
      <c r="FXP77" s="139"/>
      <c r="FXQ77" s="139"/>
      <c r="FXR77" s="139"/>
      <c r="FXS77" s="139"/>
      <c r="FXT77" s="139"/>
      <c r="FXU77" s="139"/>
      <c r="FXV77" s="139"/>
      <c r="FXW77" s="139"/>
      <c r="FXX77" s="139"/>
      <c r="FXY77" s="139"/>
      <c r="FXZ77" s="139"/>
      <c r="FYA77" s="139"/>
      <c r="FYB77" s="139"/>
      <c r="FYC77" s="139"/>
      <c r="FYD77" s="139"/>
      <c r="FYE77" s="139"/>
      <c r="FYF77" s="139"/>
      <c r="FYG77" s="139"/>
      <c r="FYH77" s="139"/>
      <c r="FYI77" s="139"/>
      <c r="FYJ77" s="139"/>
      <c r="FYK77" s="139"/>
      <c r="FYL77" s="139"/>
      <c r="FYM77" s="139"/>
      <c r="FYN77" s="139"/>
      <c r="FYO77" s="139"/>
      <c r="FYP77" s="139"/>
      <c r="FYQ77" s="139"/>
      <c r="FYR77" s="139"/>
      <c r="FYS77" s="139"/>
      <c r="FYT77" s="139"/>
      <c r="FYU77" s="139"/>
      <c r="FYV77" s="139"/>
      <c r="FYW77" s="139"/>
      <c r="FYX77" s="139"/>
      <c r="FYY77" s="139"/>
      <c r="FYZ77" s="139"/>
      <c r="FZA77" s="139"/>
      <c r="FZB77" s="139"/>
      <c r="FZC77" s="139"/>
      <c r="FZD77" s="139"/>
      <c r="FZE77" s="139"/>
      <c r="FZF77" s="139"/>
      <c r="FZG77" s="139"/>
      <c r="FZH77" s="139"/>
      <c r="FZI77" s="139"/>
      <c r="FZJ77" s="139"/>
      <c r="FZK77" s="139"/>
      <c r="FZL77" s="139"/>
      <c r="FZM77" s="139"/>
      <c r="FZN77" s="139"/>
      <c r="FZO77" s="139"/>
      <c r="FZP77" s="139"/>
      <c r="FZQ77" s="139"/>
      <c r="FZR77" s="139"/>
      <c r="FZS77" s="139"/>
      <c r="FZT77" s="139"/>
      <c r="FZU77" s="139"/>
      <c r="FZV77" s="139"/>
      <c r="FZW77" s="139"/>
      <c r="FZX77" s="139"/>
      <c r="FZY77" s="139"/>
      <c r="FZZ77" s="139"/>
      <c r="GAA77" s="139"/>
      <c r="GAB77" s="139"/>
      <c r="GAC77" s="139"/>
      <c r="GAD77" s="139"/>
      <c r="GAE77" s="139"/>
      <c r="GAF77" s="139"/>
      <c r="GAG77" s="139"/>
      <c r="GAH77" s="139"/>
      <c r="GAI77" s="139"/>
      <c r="GAJ77" s="139"/>
      <c r="GAK77" s="139"/>
      <c r="GAL77" s="139"/>
      <c r="GAM77" s="139"/>
      <c r="GAN77" s="139"/>
      <c r="GAO77" s="139"/>
      <c r="GAP77" s="139"/>
      <c r="GAQ77" s="139"/>
      <c r="GAR77" s="139"/>
      <c r="GAS77" s="139"/>
      <c r="GAT77" s="139"/>
      <c r="GAU77" s="139"/>
      <c r="GAV77" s="139"/>
      <c r="GAW77" s="139"/>
      <c r="GAX77" s="139"/>
      <c r="GAY77" s="139"/>
      <c r="GAZ77" s="139"/>
      <c r="GBA77" s="139"/>
      <c r="GBB77" s="139"/>
      <c r="GBC77" s="139"/>
      <c r="GBD77" s="139"/>
      <c r="GBE77" s="139"/>
      <c r="GBF77" s="139"/>
      <c r="GBG77" s="139"/>
      <c r="GBH77" s="139"/>
      <c r="GBI77" s="139"/>
      <c r="GBJ77" s="139"/>
      <c r="GBK77" s="139"/>
      <c r="GBL77" s="139"/>
      <c r="GBM77" s="139"/>
      <c r="GBN77" s="139"/>
      <c r="GBO77" s="139"/>
      <c r="GBP77" s="139"/>
      <c r="GBQ77" s="139"/>
      <c r="GBR77" s="139"/>
      <c r="GBS77" s="139"/>
      <c r="GBT77" s="139"/>
      <c r="GBU77" s="139"/>
      <c r="GBV77" s="139"/>
      <c r="GBW77" s="139"/>
      <c r="GBX77" s="139"/>
      <c r="GBY77" s="139"/>
      <c r="GBZ77" s="139"/>
      <c r="GCA77" s="139"/>
      <c r="GCB77" s="139"/>
      <c r="GCC77" s="139"/>
      <c r="GCD77" s="139"/>
      <c r="GCE77" s="139"/>
      <c r="GCF77" s="139"/>
      <c r="GCG77" s="139"/>
      <c r="GCH77" s="139"/>
      <c r="GCI77" s="139"/>
      <c r="GCJ77" s="139"/>
      <c r="GCK77" s="139"/>
      <c r="GCL77" s="139"/>
      <c r="GCM77" s="139"/>
      <c r="GCN77" s="139"/>
      <c r="GCO77" s="139"/>
      <c r="GCP77" s="139"/>
      <c r="GCQ77" s="139"/>
      <c r="GCR77" s="139"/>
      <c r="GCS77" s="139"/>
      <c r="GCT77" s="139"/>
      <c r="GCU77" s="139"/>
      <c r="GCV77" s="139"/>
      <c r="GCW77" s="139"/>
      <c r="GCX77" s="139"/>
      <c r="GCY77" s="139"/>
      <c r="GCZ77" s="139"/>
      <c r="GDA77" s="139"/>
      <c r="GDB77" s="139"/>
      <c r="GDC77" s="139"/>
      <c r="GDD77" s="139"/>
      <c r="GDE77" s="139"/>
      <c r="GDF77" s="139"/>
      <c r="GDG77" s="139"/>
      <c r="GDH77" s="139"/>
      <c r="GDI77" s="139"/>
      <c r="GDJ77" s="139"/>
      <c r="GDK77" s="139"/>
      <c r="GDL77" s="139"/>
      <c r="GDM77" s="139"/>
      <c r="GDN77" s="139"/>
      <c r="GDO77" s="139"/>
      <c r="GDP77" s="139"/>
      <c r="GDQ77" s="139"/>
      <c r="GDR77" s="139"/>
      <c r="GDS77" s="139"/>
      <c r="GDT77" s="139"/>
      <c r="GDU77" s="139"/>
      <c r="GDV77" s="139"/>
      <c r="GDW77" s="139"/>
      <c r="GDX77" s="139"/>
      <c r="GDY77" s="139"/>
      <c r="GDZ77" s="139"/>
      <c r="GEA77" s="139"/>
      <c r="GEB77" s="139"/>
      <c r="GEC77" s="139"/>
      <c r="GED77" s="139"/>
      <c r="GEE77" s="139"/>
      <c r="GEF77" s="139"/>
      <c r="GEG77" s="139"/>
      <c r="GEH77" s="139"/>
      <c r="GEI77" s="139"/>
      <c r="GEJ77" s="139"/>
      <c r="GEK77" s="139"/>
      <c r="GEL77" s="139"/>
      <c r="GEM77" s="139"/>
      <c r="GEN77" s="139"/>
      <c r="GEO77" s="139"/>
      <c r="GEP77" s="139"/>
      <c r="GEQ77" s="139"/>
      <c r="GER77" s="139"/>
      <c r="GES77" s="139"/>
      <c r="GET77" s="139"/>
      <c r="GEU77" s="139"/>
      <c r="GEV77" s="139"/>
      <c r="GEW77" s="139"/>
      <c r="GEX77" s="139"/>
      <c r="GEY77" s="139"/>
      <c r="GEZ77" s="139"/>
      <c r="GFA77" s="139"/>
      <c r="GFB77" s="139"/>
      <c r="GFC77" s="139"/>
      <c r="GFD77" s="139"/>
      <c r="GFE77" s="139"/>
      <c r="GFF77" s="139"/>
      <c r="GFG77" s="139"/>
      <c r="GFH77" s="139"/>
      <c r="GFI77" s="139"/>
      <c r="GFJ77" s="139"/>
      <c r="GFK77" s="139"/>
      <c r="GFL77" s="139"/>
      <c r="GFM77" s="139"/>
      <c r="GFN77" s="139"/>
      <c r="GFO77" s="139"/>
      <c r="GFP77" s="139"/>
      <c r="GFQ77" s="139"/>
      <c r="GFR77" s="139"/>
      <c r="GFS77" s="139"/>
      <c r="GFT77" s="139"/>
      <c r="GFU77" s="139"/>
      <c r="GFV77" s="139"/>
      <c r="GFW77" s="139"/>
      <c r="GFX77" s="139"/>
      <c r="GFY77" s="139"/>
      <c r="GFZ77" s="139"/>
      <c r="GGA77" s="139"/>
      <c r="GGB77" s="139"/>
      <c r="GGC77" s="139"/>
      <c r="GGD77" s="139"/>
      <c r="GGE77" s="139"/>
      <c r="GGF77" s="139"/>
      <c r="GGG77" s="139"/>
      <c r="GGH77" s="139"/>
      <c r="GGI77" s="139"/>
      <c r="GGJ77" s="139"/>
      <c r="GGK77" s="139"/>
      <c r="GGL77" s="139"/>
      <c r="GGM77" s="139"/>
      <c r="GGN77" s="139"/>
      <c r="GGO77" s="139"/>
      <c r="GGP77" s="139"/>
      <c r="GGQ77" s="139"/>
      <c r="GGR77" s="139"/>
      <c r="GGS77" s="139"/>
      <c r="GGT77" s="139"/>
      <c r="GGU77" s="139"/>
      <c r="GGV77" s="139"/>
      <c r="GGW77" s="139"/>
      <c r="GGX77" s="139"/>
      <c r="GGY77" s="139"/>
      <c r="GGZ77" s="139"/>
      <c r="GHA77" s="139"/>
      <c r="GHB77" s="139"/>
      <c r="GHC77" s="139"/>
      <c r="GHD77" s="139"/>
      <c r="GHE77" s="139"/>
      <c r="GHF77" s="139"/>
      <c r="GHG77" s="139"/>
      <c r="GHH77" s="139"/>
      <c r="GHI77" s="139"/>
      <c r="GHJ77" s="139"/>
      <c r="GHK77" s="139"/>
      <c r="GHL77" s="139"/>
      <c r="GHM77" s="139"/>
      <c r="GHN77" s="139"/>
      <c r="GHO77" s="139"/>
      <c r="GHP77" s="139"/>
      <c r="GHQ77" s="139"/>
      <c r="GHR77" s="139"/>
      <c r="GHS77" s="139"/>
      <c r="GHT77" s="139"/>
      <c r="GHU77" s="139"/>
      <c r="GHV77" s="139"/>
      <c r="GHW77" s="139"/>
      <c r="GHX77" s="139"/>
      <c r="GHY77" s="139"/>
      <c r="GHZ77" s="139"/>
      <c r="GIA77" s="139"/>
      <c r="GIB77" s="139"/>
      <c r="GIC77" s="139"/>
      <c r="GID77" s="139"/>
      <c r="GIE77" s="139"/>
      <c r="GIF77" s="139"/>
      <c r="GIG77" s="139"/>
      <c r="GIH77" s="139"/>
      <c r="GII77" s="139"/>
      <c r="GIJ77" s="139"/>
      <c r="GIK77" s="139"/>
      <c r="GIL77" s="139"/>
      <c r="GIM77" s="139"/>
      <c r="GIN77" s="139"/>
      <c r="GIO77" s="139"/>
      <c r="GIP77" s="139"/>
      <c r="GIQ77" s="139"/>
      <c r="GIR77" s="139"/>
      <c r="GIS77" s="139"/>
      <c r="GIT77" s="139"/>
      <c r="GIU77" s="139"/>
      <c r="GIV77" s="139"/>
      <c r="GIW77" s="139"/>
      <c r="GIX77" s="139"/>
      <c r="GIY77" s="139"/>
      <c r="GIZ77" s="139"/>
      <c r="GJA77" s="139"/>
      <c r="GJB77" s="139"/>
      <c r="GJC77" s="139"/>
      <c r="GJD77" s="139"/>
      <c r="GJE77" s="139"/>
      <c r="GJF77" s="139"/>
      <c r="GJG77" s="139"/>
      <c r="GJH77" s="139"/>
      <c r="GJI77" s="139"/>
      <c r="GJJ77" s="139"/>
      <c r="GJK77" s="139"/>
      <c r="GJL77" s="139"/>
      <c r="GJM77" s="139"/>
      <c r="GJN77" s="139"/>
      <c r="GJO77" s="139"/>
      <c r="GJP77" s="139"/>
      <c r="GJQ77" s="139"/>
      <c r="GJR77" s="139"/>
      <c r="GJS77" s="139"/>
      <c r="GJT77" s="139"/>
      <c r="GJU77" s="139"/>
      <c r="GJV77" s="139"/>
      <c r="GJW77" s="139"/>
      <c r="GJX77" s="139"/>
      <c r="GJY77" s="139"/>
      <c r="GJZ77" s="139"/>
      <c r="GKA77" s="139"/>
      <c r="GKB77" s="139"/>
      <c r="GKC77" s="139"/>
      <c r="GKD77" s="139"/>
      <c r="GKE77" s="139"/>
      <c r="GKF77" s="139"/>
      <c r="GKG77" s="139"/>
      <c r="GKH77" s="139"/>
      <c r="GKI77" s="139"/>
      <c r="GKJ77" s="139"/>
      <c r="GKK77" s="139"/>
      <c r="GKL77" s="139"/>
      <c r="GKM77" s="139"/>
      <c r="GKN77" s="139"/>
      <c r="GKO77" s="139"/>
      <c r="GKP77" s="139"/>
      <c r="GKQ77" s="139"/>
      <c r="GKR77" s="139"/>
      <c r="GKS77" s="139"/>
      <c r="GKT77" s="139"/>
      <c r="GKU77" s="139"/>
      <c r="GKV77" s="139"/>
      <c r="GKW77" s="139"/>
      <c r="GKX77" s="139"/>
      <c r="GKY77" s="139"/>
      <c r="GKZ77" s="139"/>
      <c r="GLA77" s="139"/>
      <c r="GLB77" s="139"/>
      <c r="GLC77" s="139"/>
      <c r="GLD77" s="139"/>
      <c r="GLE77" s="139"/>
      <c r="GLF77" s="139"/>
      <c r="GLG77" s="139"/>
      <c r="GLH77" s="139"/>
      <c r="GLI77" s="139"/>
      <c r="GLJ77" s="139"/>
      <c r="GLK77" s="139"/>
      <c r="GLL77" s="139"/>
      <c r="GLM77" s="139"/>
      <c r="GLN77" s="139"/>
      <c r="GLO77" s="139"/>
      <c r="GLP77" s="139"/>
      <c r="GLQ77" s="139"/>
      <c r="GLR77" s="139"/>
      <c r="GLS77" s="139"/>
      <c r="GLT77" s="139"/>
      <c r="GLU77" s="139"/>
      <c r="GLV77" s="139"/>
      <c r="GLW77" s="139"/>
      <c r="GLX77" s="139"/>
      <c r="GLY77" s="139"/>
      <c r="GLZ77" s="139"/>
      <c r="GMA77" s="139"/>
      <c r="GMB77" s="139"/>
      <c r="GMC77" s="139"/>
      <c r="GMD77" s="139"/>
      <c r="GME77" s="139"/>
      <c r="GMF77" s="139"/>
      <c r="GMG77" s="139"/>
      <c r="GMH77" s="139"/>
      <c r="GMI77" s="139"/>
      <c r="GMJ77" s="139"/>
      <c r="GMK77" s="139"/>
      <c r="GML77" s="139"/>
      <c r="GMM77" s="139"/>
      <c r="GMN77" s="139"/>
      <c r="GMO77" s="139"/>
      <c r="GMP77" s="139"/>
      <c r="GMQ77" s="139"/>
      <c r="GMR77" s="139"/>
      <c r="GMS77" s="139"/>
      <c r="GMT77" s="139"/>
      <c r="GMU77" s="139"/>
      <c r="GMV77" s="139"/>
      <c r="GMW77" s="139"/>
      <c r="GMX77" s="139"/>
      <c r="GMY77" s="139"/>
      <c r="GMZ77" s="139"/>
      <c r="GNA77" s="139"/>
      <c r="GNB77" s="139"/>
      <c r="GNC77" s="139"/>
      <c r="GND77" s="139"/>
      <c r="GNE77" s="139"/>
      <c r="GNF77" s="139"/>
      <c r="GNG77" s="139"/>
      <c r="GNH77" s="139"/>
      <c r="GNI77" s="139"/>
      <c r="GNJ77" s="139"/>
      <c r="GNK77" s="139"/>
      <c r="GNL77" s="139"/>
      <c r="GNM77" s="139"/>
      <c r="GNN77" s="139"/>
      <c r="GNO77" s="139"/>
      <c r="GNP77" s="139"/>
      <c r="GNQ77" s="139"/>
      <c r="GNR77" s="139"/>
      <c r="GNS77" s="139"/>
      <c r="GNT77" s="139"/>
      <c r="GNU77" s="139"/>
      <c r="GNV77" s="139"/>
      <c r="GNW77" s="139"/>
      <c r="GNX77" s="139"/>
      <c r="GNY77" s="139"/>
      <c r="GNZ77" s="139"/>
      <c r="GOA77" s="139"/>
      <c r="GOB77" s="139"/>
      <c r="GOC77" s="139"/>
      <c r="GOD77" s="139"/>
      <c r="GOE77" s="139"/>
      <c r="GOF77" s="139"/>
      <c r="GOG77" s="139"/>
      <c r="GOH77" s="139"/>
      <c r="GOI77" s="139"/>
      <c r="GOJ77" s="139"/>
      <c r="GOK77" s="139"/>
      <c r="GOL77" s="139"/>
      <c r="GOM77" s="139"/>
      <c r="GON77" s="139"/>
      <c r="GOO77" s="139"/>
      <c r="GOP77" s="139"/>
      <c r="GOQ77" s="139"/>
      <c r="GOR77" s="139"/>
      <c r="GOS77" s="139"/>
      <c r="GOT77" s="139"/>
      <c r="GOU77" s="139"/>
      <c r="GOV77" s="139"/>
      <c r="GOW77" s="139"/>
      <c r="GOX77" s="139"/>
      <c r="GOY77" s="139"/>
      <c r="GOZ77" s="139"/>
      <c r="GPA77" s="139"/>
      <c r="GPB77" s="139"/>
      <c r="GPC77" s="139"/>
      <c r="GPD77" s="139"/>
      <c r="GPE77" s="139"/>
      <c r="GPF77" s="139"/>
      <c r="GPG77" s="139"/>
      <c r="GPH77" s="139"/>
      <c r="GPI77" s="139"/>
      <c r="GPJ77" s="139"/>
      <c r="GPK77" s="139"/>
      <c r="GPL77" s="139"/>
      <c r="GPM77" s="139"/>
      <c r="GPN77" s="139"/>
      <c r="GPO77" s="139"/>
      <c r="GPP77" s="139"/>
      <c r="GPQ77" s="139"/>
      <c r="GPR77" s="139"/>
      <c r="GPS77" s="139"/>
      <c r="GPT77" s="139"/>
      <c r="GPU77" s="139"/>
      <c r="GPV77" s="139"/>
      <c r="GPW77" s="139"/>
      <c r="GPX77" s="139"/>
      <c r="GPY77" s="139"/>
      <c r="GPZ77" s="139"/>
      <c r="GQA77" s="139"/>
      <c r="GQB77" s="139"/>
      <c r="GQC77" s="139"/>
      <c r="GQD77" s="139"/>
      <c r="GQE77" s="139"/>
      <c r="GQF77" s="139"/>
      <c r="GQG77" s="139"/>
      <c r="GQH77" s="139"/>
      <c r="GQI77" s="139"/>
      <c r="GQJ77" s="139"/>
      <c r="GQK77" s="139"/>
      <c r="GQL77" s="139"/>
      <c r="GQM77" s="139"/>
      <c r="GQN77" s="139"/>
      <c r="GQO77" s="139"/>
      <c r="GQP77" s="139"/>
      <c r="GQQ77" s="139"/>
      <c r="GQR77" s="139"/>
      <c r="GQS77" s="139"/>
      <c r="GQT77" s="139"/>
      <c r="GQU77" s="139"/>
      <c r="GQV77" s="139"/>
      <c r="GQW77" s="139"/>
      <c r="GQX77" s="139"/>
      <c r="GQY77" s="139"/>
      <c r="GQZ77" s="139"/>
      <c r="GRA77" s="139"/>
      <c r="GRB77" s="139"/>
      <c r="GRC77" s="139"/>
      <c r="GRD77" s="139"/>
      <c r="GRE77" s="139"/>
      <c r="GRF77" s="139"/>
      <c r="GRG77" s="139"/>
      <c r="GRH77" s="139"/>
      <c r="GRI77" s="139"/>
      <c r="GRJ77" s="139"/>
      <c r="GRK77" s="139"/>
      <c r="GRL77" s="139"/>
      <c r="GRM77" s="139"/>
      <c r="GRN77" s="139"/>
      <c r="GRO77" s="139"/>
      <c r="GRP77" s="139"/>
      <c r="GRQ77" s="139"/>
      <c r="GRR77" s="139"/>
      <c r="GRS77" s="139"/>
      <c r="GRT77" s="139"/>
      <c r="GRU77" s="139"/>
      <c r="GRV77" s="139"/>
      <c r="GRW77" s="139"/>
      <c r="GRX77" s="139"/>
      <c r="GRY77" s="139"/>
      <c r="GRZ77" s="139"/>
      <c r="GSA77" s="139"/>
      <c r="GSB77" s="139"/>
      <c r="GSC77" s="139"/>
      <c r="GSD77" s="139"/>
      <c r="GSE77" s="139"/>
      <c r="GSF77" s="139"/>
      <c r="GSG77" s="139"/>
      <c r="GSH77" s="139"/>
      <c r="GSI77" s="139"/>
      <c r="GSJ77" s="139"/>
      <c r="GSK77" s="139"/>
      <c r="GSL77" s="139"/>
      <c r="GSM77" s="139"/>
      <c r="GSN77" s="139"/>
      <c r="GSO77" s="139"/>
      <c r="GSP77" s="139"/>
      <c r="GSQ77" s="139"/>
      <c r="GSR77" s="139"/>
      <c r="GSS77" s="139"/>
      <c r="GST77" s="139"/>
      <c r="GSU77" s="139"/>
      <c r="GSV77" s="139"/>
      <c r="GSW77" s="139"/>
      <c r="GSX77" s="139"/>
      <c r="GSY77" s="139"/>
      <c r="GSZ77" s="139"/>
      <c r="GTA77" s="139"/>
      <c r="GTB77" s="139"/>
      <c r="GTC77" s="139"/>
      <c r="GTD77" s="139"/>
      <c r="GTE77" s="139"/>
      <c r="GTF77" s="139"/>
      <c r="GTG77" s="139"/>
      <c r="GTH77" s="139"/>
      <c r="GTI77" s="139"/>
      <c r="GTJ77" s="139"/>
      <c r="GTK77" s="139"/>
      <c r="GTL77" s="139"/>
      <c r="GTM77" s="139"/>
      <c r="GTN77" s="139"/>
      <c r="GTO77" s="139"/>
      <c r="GTP77" s="139"/>
      <c r="GTQ77" s="139"/>
      <c r="GTR77" s="139"/>
      <c r="GTS77" s="139"/>
      <c r="GTT77" s="139"/>
      <c r="GTU77" s="139"/>
      <c r="GTV77" s="139"/>
      <c r="GTW77" s="139"/>
      <c r="GTX77" s="139"/>
      <c r="GTY77" s="139"/>
      <c r="GTZ77" s="139"/>
      <c r="GUA77" s="139"/>
      <c r="GUB77" s="139"/>
      <c r="GUC77" s="139"/>
      <c r="GUD77" s="139"/>
      <c r="GUE77" s="139"/>
      <c r="GUF77" s="139"/>
      <c r="GUG77" s="139"/>
      <c r="GUH77" s="139"/>
      <c r="GUI77" s="139"/>
      <c r="GUJ77" s="139"/>
      <c r="GUK77" s="139"/>
      <c r="GUL77" s="139"/>
      <c r="GUM77" s="139"/>
      <c r="GUN77" s="139"/>
      <c r="GUO77" s="139"/>
      <c r="GUP77" s="139"/>
      <c r="GUQ77" s="139"/>
      <c r="GUR77" s="139"/>
      <c r="GUS77" s="139"/>
      <c r="GUT77" s="139"/>
      <c r="GUU77" s="139"/>
      <c r="GUV77" s="139"/>
      <c r="GUW77" s="139"/>
      <c r="GUX77" s="139"/>
      <c r="GUY77" s="139"/>
      <c r="GUZ77" s="139"/>
      <c r="GVA77" s="139"/>
      <c r="GVB77" s="139"/>
      <c r="GVC77" s="139"/>
      <c r="GVD77" s="139"/>
      <c r="GVE77" s="139"/>
      <c r="GVF77" s="139"/>
      <c r="GVG77" s="139"/>
      <c r="GVH77" s="139"/>
      <c r="GVI77" s="139"/>
      <c r="GVJ77" s="139"/>
      <c r="GVK77" s="139"/>
      <c r="GVL77" s="139"/>
      <c r="GVM77" s="139"/>
      <c r="GVN77" s="139"/>
      <c r="GVO77" s="139"/>
      <c r="GVP77" s="139"/>
      <c r="GVQ77" s="139"/>
      <c r="GVR77" s="139"/>
      <c r="GVS77" s="139"/>
      <c r="GVT77" s="139"/>
      <c r="GVU77" s="139"/>
      <c r="GVV77" s="139"/>
      <c r="GVW77" s="139"/>
      <c r="GVX77" s="139"/>
      <c r="GVY77" s="139"/>
      <c r="GVZ77" s="139"/>
      <c r="GWA77" s="139"/>
      <c r="GWB77" s="139"/>
      <c r="GWC77" s="139"/>
      <c r="GWD77" s="139"/>
      <c r="GWE77" s="139"/>
      <c r="GWF77" s="139"/>
      <c r="GWG77" s="139"/>
      <c r="GWH77" s="139"/>
      <c r="GWI77" s="139"/>
      <c r="GWJ77" s="139"/>
      <c r="GWK77" s="139"/>
      <c r="GWL77" s="139"/>
      <c r="GWM77" s="139"/>
      <c r="GWN77" s="139"/>
      <c r="GWO77" s="139"/>
      <c r="GWP77" s="139"/>
      <c r="GWQ77" s="139"/>
      <c r="GWR77" s="139"/>
      <c r="GWS77" s="139"/>
      <c r="GWT77" s="139"/>
      <c r="GWU77" s="139"/>
      <c r="GWV77" s="139"/>
      <c r="GWW77" s="139"/>
      <c r="GWX77" s="139"/>
      <c r="GWY77" s="139"/>
      <c r="GWZ77" s="139"/>
      <c r="GXA77" s="139"/>
      <c r="GXB77" s="139"/>
      <c r="GXC77" s="139"/>
      <c r="GXD77" s="139"/>
      <c r="GXE77" s="139"/>
      <c r="GXF77" s="139"/>
      <c r="GXG77" s="139"/>
      <c r="GXH77" s="139"/>
      <c r="GXI77" s="139"/>
      <c r="GXJ77" s="139"/>
      <c r="GXK77" s="139"/>
      <c r="GXL77" s="139"/>
      <c r="GXM77" s="139"/>
      <c r="GXN77" s="139"/>
      <c r="GXO77" s="139"/>
      <c r="GXP77" s="139"/>
      <c r="GXQ77" s="139"/>
      <c r="GXR77" s="139"/>
      <c r="GXS77" s="139"/>
      <c r="GXT77" s="139"/>
      <c r="GXU77" s="139"/>
      <c r="GXV77" s="139"/>
      <c r="GXW77" s="139"/>
      <c r="GXX77" s="139"/>
      <c r="GXY77" s="139"/>
      <c r="GXZ77" s="139"/>
      <c r="GYA77" s="139"/>
      <c r="GYB77" s="139"/>
      <c r="GYC77" s="139"/>
      <c r="GYD77" s="139"/>
      <c r="GYE77" s="139"/>
      <c r="GYF77" s="139"/>
      <c r="GYG77" s="139"/>
      <c r="GYH77" s="139"/>
      <c r="GYI77" s="139"/>
      <c r="GYJ77" s="139"/>
      <c r="GYK77" s="139"/>
      <c r="GYL77" s="139"/>
      <c r="GYM77" s="139"/>
      <c r="GYN77" s="139"/>
      <c r="GYO77" s="139"/>
      <c r="GYP77" s="139"/>
      <c r="GYQ77" s="139"/>
      <c r="GYR77" s="139"/>
      <c r="GYS77" s="139"/>
      <c r="GYT77" s="139"/>
      <c r="GYU77" s="139"/>
      <c r="GYV77" s="139"/>
      <c r="GYW77" s="139"/>
      <c r="GYX77" s="139"/>
      <c r="GYY77" s="139"/>
      <c r="GYZ77" s="139"/>
      <c r="GZA77" s="139"/>
      <c r="GZB77" s="139"/>
      <c r="GZC77" s="139"/>
      <c r="GZD77" s="139"/>
      <c r="GZE77" s="139"/>
      <c r="GZF77" s="139"/>
      <c r="GZG77" s="139"/>
      <c r="GZH77" s="139"/>
      <c r="GZI77" s="139"/>
      <c r="GZJ77" s="139"/>
      <c r="GZK77" s="139"/>
      <c r="GZL77" s="139"/>
      <c r="GZM77" s="139"/>
      <c r="GZN77" s="139"/>
      <c r="GZO77" s="139"/>
      <c r="GZP77" s="139"/>
      <c r="GZQ77" s="139"/>
      <c r="GZR77" s="139"/>
      <c r="GZS77" s="139"/>
      <c r="GZT77" s="139"/>
      <c r="GZU77" s="139"/>
      <c r="GZV77" s="139"/>
      <c r="GZW77" s="139"/>
      <c r="GZX77" s="139"/>
      <c r="GZY77" s="139"/>
      <c r="GZZ77" s="139"/>
      <c r="HAA77" s="139"/>
      <c r="HAB77" s="139"/>
      <c r="HAC77" s="139"/>
      <c r="HAD77" s="139"/>
      <c r="HAE77" s="139"/>
      <c r="HAF77" s="139"/>
      <c r="HAG77" s="139"/>
      <c r="HAH77" s="139"/>
      <c r="HAI77" s="139"/>
      <c r="HAJ77" s="139"/>
      <c r="HAK77" s="139"/>
      <c r="HAL77" s="139"/>
      <c r="HAM77" s="139"/>
      <c r="HAN77" s="139"/>
      <c r="HAO77" s="139"/>
      <c r="HAP77" s="139"/>
      <c r="HAQ77" s="139"/>
      <c r="HAR77" s="139"/>
      <c r="HAS77" s="139"/>
      <c r="HAT77" s="139"/>
      <c r="HAU77" s="139"/>
      <c r="HAV77" s="139"/>
      <c r="HAW77" s="139"/>
      <c r="HAX77" s="139"/>
      <c r="HAY77" s="139"/>
      <c r="HAZ77" s="139"/>
      <c r="HBA77" s="139"/>
      <c r="HBB77" s="139"/>
      <c r="HBC77" s="139"/>
      <c r="HBD77" s="139"/>
      <c r="HBE77" s="139"/>
      <c r="HBF77" s="139"/>
      <c r="HBG77" s="139"/>
      <c r="HBH77" s="139"/>
      <c r="HBI77" s="139"/>
      <c r="HBJ77" s="139"/>
      <c r="HBK77" s="139"/>
      <c r="HBL77" s="139"/>
      <c r="HBM77" s="139"/>
      <c r="HBN77" s="139"/>
      <c r="HBO77" s="139"/>
      <c r="HBP77" s="139"/>
      <c r="HBQ77" s="139"/>
      <c r="HBR77" s="139"/>
      <c r="HBS77" s="139"/>
      <c r="HBT77" s="139"/>
      <c r="HBU77" s="139"/>
      <c r="HBV77" s="139"/>
      <c r="HBW77" s="139"/>
      <c r="HBX77" s="139"/>
      <c r="HBY77" s="139"/>
      <c r="HBZ77" s="139"/>
      <c r="HCA77" s="139"/>
      <c r="HCB77" s="139"/>
      <c r="HCC77" s="139"/>
      <c r="HCD77" s="139"/>
      <c r="HCE77" s="139"/>
      <c r="HCF77" s="139"/>
      <c r="HCG77" s="139"/>
      <c r="HCH77" s="139"/>
      <c r="HCI77" s="139"/>
      <c r="HCJ77" s="139"/>
      <c r="HCK77" s="139"/>
      <c r="HCL77" s="139"/>
      <c r="HCM77" s="139"/>
      <c r="HCN77" s="139"/>
      <c r="HCO77" s="139"/>
      <c r="HCP77" s="139"/>
      <c r="HCQ77" s="139"/>
      <c r="HCR77" s="139"/>
      <c r="HCS77" s="139"/>
      <c r="HCT77" s="139"/>
      <c r="HCU77" s="139"/>
      <c r="HCV77" s="139"/>
      <c r="HCW77" s="139"/>
      <c r="HCX77" s="139"/>
      <c r="HCY77" s="139"/>
      <c r="HCZ77" s="139"/>
      <c r="HDA77" s="139"/>
      <c r="HDB77" s="139"/>
      <c r="HDC77" s="139"/>
      <c r="HDD77" s="139"/>
      <c r="HDE77" s="139"/>
      <c r="HDF77" s="139"/>
      <c r="HDG77" s="139"/>
      <c r="HDH77" s="139"/>
      <c r="HDI77" s="139"/>
      <c r="HDJ77" s="139"/>
      <c r="HDK77" s="139"/>
      <c r="HDL77" s="139"/>
      <c r="HDM77" s="139"/>
      <c r="HDN77" s="139"/>
      <c r="HDO77" s="139"/>
      <c r="HDP77" s="139"/>
      <c r="HDQ77" s="139"/>
      <c r="HDR77" s="139"/>
      <c r="HDS77" s="139"/>
      <c r="HDT77" s="139"/>
      <c r="HDU77" s="139"/>
      <c r="HDV77" s="139"/>
      <c r="HDW77" s="139"/>
      <c r="HDX77" s="139"/>
      <c r="HDY77" s="139"/>
      <c r="HDZ77" s="139"/>
      <c r="HEA77" s="139"/>
      <c r="HEB77" s="139"/>
      <c r="HEC77" s="139"/>
      <c r="HED77" s="139"/>
      <c r="HEE77" s="139"/>
      <c r="HEF77" s="139"/>
      <c r="HEG77" s="139"/>
      <c r="HEH77" s="139"/>
      <c r="HEI77" s="139"/>
      <c r="HEJ77" s="139"/>
      <c r="HEK77" s="139"/>
      <c r="HEL77" s="139"/>
      <c r="HEM77" s="139"/>
      <c r="HEN77" s="139"/>
      <c r="HEO77" s="139"/>
      <c r="HEP77" s="139"/>
      <c r="HEQ77" s="139"/>
      <c r="HER77" s="139"/>
      <c r="HES77" s="139"/>
      <c r="HET77" s="139"/>
      <c r="HEU77" s="139"/>
      <c r="HEV77" s="139"/>
      <c r="HEW77" s="139"/>
      <c r="HEX77" s="139"/>
      <c r="HEY77" s="139"/>
      <c r="HEZ77" s="139"/>
      <c r="HFA77" s="139"/>
      <c r="HFB77" s="139"/>
      <c r="HFC77" s="139"/>
      <c r="HFD77" s="139"/>
      <c r="HFE77" s="139"/>
      <c r="HFF77" s="139"/>
      <c r="HFG77" s="139"/>
      <c r="HFH77" s="139"/>
      <c r="HFI77" s="139"/>
      <c r="HFJ77" s="139"/>
      <c r="HFK77" s="139"/>
      <c r="HFL77" s="139"/>
      <c r="HFM77" s="139"/>
      <c r="HFN77" s="139"/>
      <c r="HFO77" s="139"/>
      <c r="HFP77" s="139"/>
      <c r="HFQ77" s="139"/>
      <c r="HFR77" s="139"/>
      <c r="HFS77" s="139"/>
      <c r="HFT77" s="139"/>
      <c r="HFU77" s="139"/>
      <c r="HFV77" s="139"/>
      <c r="HFW77" s="139"/>
      <c r="HFX77" s="139"/>
      <c r="HFY77" s="139"/>
      <c r="HFZ77" s="139"/>
      <c r="HGA77" s="139"/>
      <c r="HGB77" s="139"/>
      <c r="HGC77" s="139"/>
      <c r="HGD77" s="139"/>
      <c r="HGE77" s="139"/>
      <c r="HGF77" s="139"/>
      <c r="HGG77" s="139"/>
      <c r="HGH77" s="139"/>
      <c r="HGI77" s="139"/>
      <c r="HGJ77" s="139"/>
      <c r="HGK77" s="139"/>
      <c r="HGL77" s="139"/>
      <c r="HGM77" s="139"/>
      <c r="HGN77" s="139"/>
      <c r="HGO77" s="139"/>
      <c r="HGP77" s="139"/>
      <c r="HGQ77" s="139"/>
      <c r="HGR77" s="139"/>
      <c r="HGS77" s="139"/>
      <c r="HGT77" s="139"/>
      <c r="HGU77" s="139"/>
      <c r="HGV77" s="139"/>
      <c r="HGW77" s="139"/>
      <c r="HGX77" s="139"/>
      <c r="HGY77" s="139"/>
      <c r="HGZ77" s="139"/>
      <c r="HHA77" s="139"/>
      <c r="HHB77" s="139"/>
      <c r="HHC77" s="139"/>
      <c r="HHD77" s="139"/>
      <c r="HHE77" s="139"/>
      <c r="HHF77" s="139"/>
      <c r="HHG77" s="139"/>
      <c r="HHH77" s="139"/>
      <c r="HHI77" s="139"/>
      <c r="HHJ77" s="139"/>
      <c r="HHK77" s="139"/>
      <c r="HHL77" s="139"/>
      <c r="HHM77" s="139"/>
      <c r="HHN77" s="139"/>
      <c r="HHO77" s="139"/>
      <c r="HHP77" s="139"/>
      <c r="HHQ77" s="139"/>
      <c r="HHR77" s="139"/>
      <c r="HHS77" s="139"/>
      <c r="HHT77" s="139"/>
      <c r="HHU77" s="139"/>
      <c r="HHV77" s="139"/>
      <c r="HHW77" s="139"/>
      <c r="HHX77" s="139"/>
      <c r="HHY77" s="139"/>
      <c r="HHZ77" s="139"/>
      <c r="HIA77" s="139"/>
      <c r="HIB77" s="139"/>
      <c r="HIC77" s="139"/>
      <c r="HID77" s="139"/>
      <c r="HIE77" s="139"/>
      <c r="HIF77" s="139"/>
      <c r="HIG77" s="139"/>
      <c r="HIH77" s="139"/>
      <c r="HII77" s="139"/>
      <c r="HIJ77" s="139"/>
      <c r="HIK77" s="139"/>
      <c r="HIL77" s="139"/>
      <c r="HIM77" s="139"/>
      <c r="HIN77" s="139"/>
      <c r="HIO77" s="139"/>
      <c r="HIP77" s="139"/>
      <c r="HIQ77" s="139"/>
      <c r="HIR77" s="139"/>
      <c r="HIS77" s="139"/>
      <c r="HIT77" s="139"/>
      <c r="HIU77" s="139"/>
      <c r="HIV77" s="139"/>
      <c r="HIW77" s="139"/>
      <c r="HIX77" s="139"/>
      <c r="HIY77" s="139"/>
      <c r="HIZ77" s="139"/>
      <c r="HJA77" s="139"/>
      <c r="HJB77" s="139"/>
      <c r="HJC77" s="139"/>
      <c r="HJD77" s="139"/>
      <c r="HJE77" s="139"/>
      <c r="HJF77" s="139"/>
      <c r="HJG77" s="139"/>
      <c r="HJH77" s="139"/>
      <c r="HJI77" s="139"/>
      <c r="HJJ77" s="139"/>
      <c r="HJK77" s="139"/>
      <c r="HJL77" s="139"/>
      <c r="HJM77" s="139"/>
      <c r="HJN77" s="139"/>
      <c r="HJO77" s="139"/>
      <c r="HJP77" s="139"/>
      <c r="HJQ77" s="139"/>
      <c r="HJR77" s="139"/>
      <c r="HJS77" s="139"/>
      <c r="HJT77" s="139"/>
      <c r="HJU77" s="139"/>
      <c r="HJV77" s="139"/>
      <c r="HJW77" s="139"/>
      <c r="HJX77" s="139"/>
      <c r="HJY77" s="139"/>
      <c r="HJZ77" s="139"/>
      <c r="HKA77" s="139"/>
      <c r="HKB77" s="139"/>
      <c r="HKC77" s="139"/>
      <c r="HKD77" s="139"/>
      <c r="HKE77" s="139"/>
      <c r="HKF77" s="139"/>
      <c r="HKG77" s="139"/>
      <c r="HKH77" s="139"/>
      <c r="HKI77" s="139"/>
      <c r="HKJ77" s="139"/>
      <c r="HKK77" s="139"/>
      <c r="HKL77" s="139"/>
      <c r="HKM77" s="139"/>
      <c r="HKN77" s="139"/>
      <c r="HKO77" s="139"/>
      <c r="HKP77" s="139"/>
      <c r="HKQ77" s="139"/>
      <c r="HKR77" s="139"/>
      <c r="HKS77" s="139"/>
      <c r="HKT77" s="139"/>
      <c r="HKU77" s="139"/>
      <c r="HKV77" s="139"/>
      <c r="HKW77" s="139"/>
      <c r="HKX77" s="139"/>
      <c r="HKY77" s="139"/>
      <c r="HKZ77" s="139"/>
      <c r="HLA77" s="139"/>
      <c r="HLB77" s="139"/>
      <c r="HLC77" s="139"/>
      <c r="HLD77" s="139"/>
      <c r="HLE77" s="139"/>
      <c r="HLF77" s="139"/>
      <c r="HLG77" s="139"/>
      <c r="HLH77" s="139"/>
      <c r="HLI77" s="139"/>
      <c r="HLJ77" s="139"/>
      <c r="HLK77" s="139"/>
      <c r="HLL77" s="139"/>
      <c r="HLM77" s="139"/>
      <c r="HLN77" s="139"/>
      <c r="HLO77" s="139"/>
      <c r="HLP77" s="139"/>
      <c r="HLQ77" s="139"/>
      <c r="HLR77" s="139"/>
      <c r="HLS77" s="139"/>
      <c r="HLT77" s="139"/>
      <c r="HLU77" s="139"/>
      <c r="HLV77" s="139"/>
      <c r="HLW77" s="139"/>
      <c r="HLX77" s="139"/>
      <c r="HLY77" s="139"/>
      <c r="HLZ77" s="139"/>
      <c r="HMA77" s="139"/>
      <c r="HMB77" s="139"/>
      <c r="HMC77" s="139"/>
      <c r="HMD77" s="139"/>
      <c r="HME77" s="139"/>
      <c r="HMF77" s="139"/>
      <c r="HMG77" s="139"/>
      <c r="HMH77" s="139"/>
      <c r="HMI77" s="139"/>
      <c r="HMJ77" s="139"/>
      <c r="HMK77" s="139"/>
      <c r="HML77" s="139"/>
      <c r="HMM77" s="139"/>
      <c r="HMN77" s="139"/>
      <c r="HMO77" s="139"/>
      <c r="HMP77" s="139"/>
      <c r="HMQ77" s="139"/>
      <c r="HMR77" s="139"/>
      <c r="HMS77" s="139"/>
      <c r="HMT77" s="139"/>
      <c r="HMU77" s="139"/>
      <c r="HMV77" s="139"/>
      <c r="HMW77" s="139"/>
      <c r="HMX77" s="139"/>
      <c r="HMY77" s="139"/>
      <c r="HMZ77" s="139"/>
      <c r="HNA77" s="139"/>
      <c r="HNB77" s="139"/>
      <c r="HNC77" s="139"/>
      <c r="HND77" s="139"/>
      <c r="HNE77" s="139"/>
      <c r="HNF77" s="139"/>
      <c r="HNG77" s="139"/>
      <c r="HNH77" s="139"/>
      <c r="HNI77" s="139"/>
      <c r="HNJ77" s="139"/>
      <c r="HNK77" s="139"/>
      <c r="HNL77" s="139"/>
      <c r="HNM77" s="139"/>
      <c r="HNN77" s="139"/>
      <c r="HNO77" s="139"/>
      <c r="HNP77" s="139"/>
      <c r="HNQ77" s="139"/>
      <c r="HNR77" s="139"/>
      <c r="HNS77" s="139"/>
      <c r="HNT77" s="139"/>
      <c r="HNU77" s="139"/>
      <c r="HNV77" s="139"/>
      <c r="HNW77" s="139"/>
      <c r="HNX77" s="139"/>
      <c r="HNY77" s="139"/>
      <c r="HNZ77" s="139"/>
      <c r="HOA77" s="139"/>
      <c r="HOB77" s="139"/>
      <c r="HOC77" s="139"/>
      <c r="HOD77" s="139"/>
      <c r="HOE77" s="139"/>
      <c r="HOF77" s="139"/>
      <c r="HOG77" s="139"/>
      <c r="HOH77" s="139"/>
      <c r="HOI77" s="139"/>
      <c r="HOJ77" s="139"/>
      <c r="HOK77" s="139"/>
      <c r="HOL77" s="139"/>
      <c r="HOM77" s="139"/>
      <c r="HON77" s="139"/>
      <c r="HOO77" s="139"/>
      <c r="HOP77" s="139"/>
      <c r="HOQ77" s="139"/>
      <c r="HOR77" s="139"/>
      <c r="HOS77" s="139"/>
      <c r="HOT77" s="139"/>
      <c r="HOU77" s="139"/>
      <c r="HOV77" s="139"/>
      <c r="HOW77" s="139"/>
      <c r="HOX77" s="139"/>
      <c r="HOY77" s="139"/>
      <c r="HOZ77" s="139"/>
      <c r="HPA77" s="139"/>
      <c r="HPB77" s="139"/>
      <c r="HPC77" s="139"/>
      <c r="HPD77" s="139"/>
      <c r="HPE77" s="139"/>
      <c r="HPF77" s="139"/>
      <c r="HPG77" s="139"/>
      <c r="HPH77" s="139"/>
      <c r="HPI77" s="139"/>
      <c r="HPJ77" s="139"/>
      <c r="HPK77" s="139"/>
      <c r="HPL77" s="139"/>
      <c r="HPM77" s="139"/>
      <c r="HPN77" s="139"/>
      <c r="HPO77" s="139"/>
      <c r="HPP77" s="139"/>
      <c r="HPQ77" s="139"/>
      <c r="HPR77" s="139"/>
      <c r="HPS77" s="139"/>
      <c r="HPT77" s="139"/>
      <c r="HPU77" s="139"/>
      <c r="HPV77" s="139"/>
      <c r="HPW77" s="139"/>
      <c r="HPX77" s="139"/>
      <c r="HPY77" s="139"/>
      <c r="HPZ77" s="139"/>
      <c r="HQA77" s="139"/>
      <c r="HQB77" s="139"/>
      <c r="HQC77" s="139"/>
      <c r="HQD77" s="139"/>
      <c r="HQE77" s="139"/>
      <c r="HQF77" s="139"/>
      <c r="HQG77" s="139"/>
      <c r="HQH77" s="139"/>
      <c r="HQI77" s="139"/>
      <c r="HQJ77" s="139"/>
      <c r="HQK77" s="139"/>
      <c r="HQL77" s="139"/>
      <c r="HQM77" s="139"/>
      <c r="HQN77" s="139"/>
      <c r="HQO77" s="139"/>
      <c r="HQP77" s="139"/>
      <c r="HQQ77" s="139"/>
      <c r="HQR77" s="139"/>
      <c r="HQS77" s="139"/>
      <c r="HQT77" s="139"/>
      <c r="HQU77" s="139"/>
      <c r="HQV77" s="139"/>
      <c r="HQW77" s="139"/>
      <c r="HQX77" s="139"/>
      <c r="HQY77" s="139"/>
      <c r="HQZ77" s="139"/>
      <c r="HRA77" s="139"/>
      <c r="HRB77" s="139"/>
      <c r="HRC77" s="139"/>
      <c r="HRD77" s="139"/>
      <c r="HRE77" s="139"/>
      <c r="HRF77" s="139"/>
      <c r="HRG77" s="139"/>
      <c r="HRH77" s="139"/>
      <c r="HRI77" s="139"/>
      <c r="HRJ77" s="139"/>
      <c r="HRK77" s="139"/>
      <c r="HRL77" s="139"/>
      <c r="HRM77" s="139"/>
      <c r="HRN77" s="139"/>
      <c r="HRO77" s="139"/>
      <c r="HRP77" s="139"/>
      <c r="HRQ77" s="139"/>
      <c r="HRR77" s="139"/>
      <c r="HRS77" s="139"/>
      <c r="HRT77" s="139"/>
      <c r="HRU77" s="139"/>
      <c r="HRV77" s="139"/>
      <c r="HRW77" s="139"/>
      <c r="HRX77" s="139"/>
      <c r="HRY77" s="139"/>
      <c r="HRZ77" s="139"/>
      <c r="HSA77" s="139"/>
      <c r="HSB77" s="139"/>
      <c r="HSC77" s="139"/>
      <c r="HSD77" s="139"/>
      <c r="HSE77" s="139"/>
      <c r="HSF77" s="139"/>
      <c r="HSG77" s="139"/>
      <c r="HSH77" s="139"/>
      <c r="HSI77" s="139"/>
      <c r="HSJ77" s="139"/>
      <c r="HSK77" s="139"/>
      <c r="HSL77" s="139"/>
      <c r="HSM77" s="139"/>
      <c r="HSN77" s="139"/>
      <c r="HSO77" s="139"/>
      <c r="HSP77" s="139"/>
      <c r="HSQ77" s="139"/>
      <c r="HSR77" s="139"/>
      <c r="HSS77" s="139"/>
      <c r="HST77" s="139"/>
      <c r="HSU77" s="139"/>
      <c r="HSV77" s="139"/>
      <c r="HSW77" s="139"/>
      <c r="HSX77" s="139"/>
      <c r="HSY77" s="139"/>
      <c r="HSZ77" s="139"/>
      <c r="HTA77" s="139"/>
      <c r="HTB77" s="139"/>
      <c r="HTC77" s="139"/>
      <c r="HTD77" s="139"/>
      <c r="HTE77" s="139"/>
      <c r="HTF77" s="139"/>
      <c r="HTG77" s="139"/>
      <c r="HTH77" s="139"/>
      <c r="HTI77" s="139"/>
      <c r="HTJ77" s="139"/>
      <c r="HTK77" s="139"/>
      <c r="HTL77" s="139"/>
      <c r="HTM77" s="139"/>
      <c r="HTN77" s="139"/>
      <c r="HTO77" s="139"/>
      <c r="HTP77" s="139"/>
      <c r="HTQ77" s="139"/>
      <c r="HTR77" s="139"/>
      <c r="HTS77" s="139"/>
      <c r="HTT77" s="139"/>
      <c r="HTU77" s="139"/>
      <c r="HTV77" s="139"/>
      <c r="HTW77" s="139"/>
      <c r="HTX77" s="139"/>
      <c r="HTY77" s="139"/>
      <c r="HTZ77" s="139"/>
      <c r="HUA77" s="139"/>
      <c r="HUB77" s="139"/>
      <c r="HUC77" s="139"/>
      <c r="HUD77" s="139"/>
      <c r="HUE77" s="139"/>
      <c r="HUF77" s="139"/>
      <c r="HUG77" s="139"/>
      <c r="HUH77" s="139"/>
      <c r="HUI77" s="139"/>
      <c r="HUJ77" s="139"/>
      <c r="HUK77" s="139"/>
      <c r="HUL77" s="139"/>
      <c r="HUM77" s="139"/>
      <c r="HUN77" s="139"/>
      <c r="HUO77" s="139"/>
      <c r="HUP77" s="139"/>
      <c r="HUQ77" s="139"/>
      <c r="HUR77" s="139"/>
      <c r="HUS77" s="139"/>
      <c r="HUT77" s="139"/>
      <c r="HUU77" s="139"/>
      <c r="HUV77" s="139"/>
      <c r="HUW77" s="139"/>
      <c r="HUX77" s="139"/>
      <c r="HUY77" s="139"/>
      <c r="HUZ77" s="139"/>
      <c r="HVA77" s="139"/>
      <c r="HVB77" s="139"/>
      <c r="HVC77" s="139"/>
      <c r="HVD77" s="139"/>
      <c r="HVE77" s="139"/>
      <c r="HVF77" s="139"/>
      <c r="HVG77" s="139"/>
      <c r="HVH77" s="139"/>
      <c r="HVI77" s="139"/>
      <c r="HVJ77" s="139"/>
      <c r="HVK77" s="139"/>
      <c r="HVL77" s="139"/>
      <c r="HVM77" s="139"/>
      <c r="HVN77" s="139"/>
      <c r="HVO77" s="139"/>
      <c r="HVP77" s="139"/>
      <c r="HVQ77" s="139"/>
      <c r="HVR77" s="139"/>
      <c r="HVS77" s="139"/>
      <c r="HVT77" s="139"/>
      <c r="HVU77" s="139"/>
      <c r="HVV77" s="139"/>
      <c r="HVW77" s="139"/>
      <c r="HVX77" s="139"/>
      <c r="HVY77" s="139"/>
      <c r="HVZ77" s="139"/>
      <c r="HWA77" s="139"/>
      <c r="HWB77" s="139"/>
      <c r="HWC77" s="139"/>
      <c r="HWD77" s="139"/>
      <c r="HWE77" s="139"/>
      <c r="HWF77" s="139"/>
      <c r="HWG77" s="139"/>
      <c r="HWH77" s="139"/>
      <c r="HWI77" s="139"/>
      <c r="HWJ77" s="139"/>
      <c r="HWK77" s="139"/>
      <c r="HWL77" s="139"/>
      <c r="HWM77" s="139"/>
      <c r="HWN77" s="139"/>
      <c r="HWO77" s="139"/>
      <c r="HWP77" s="139"/>
      <c r="HWQ77" s="139"/>
      <c r="HWR77" s="139"/>
      <c r="HWS77" s="139"/>
      <c r="HWT77" s="139"/>
      <c r="HWU77" s="139"/>
      <c r="HWV77" s="139"/>
      <c r="HWW77" s="139"/>
      <c r="HWX77" s="139"/>
      <c r="HWY77" s="139"/>
      <c r="HWZ77" s="139"/>
      <c r="HXA77" s="139"/>
      <c r="HXB77" s="139"/>
      <c r="HXC77" s="139"/>
      <c r="HXD77" s="139"/>
      <c r="HXE77" s="139"/>
      <c r="HXF77" s="139"/>
      <c r="HXG77" s="139"/>
      <c r="HXH77" s="139"/>
      <c r="HXI77" s="139"/>
      <c r="HXJ77" s="139"/>
      <c r="HXK77" s="139"/>
      <c r="HXL77" s="139"/>
      <c r="HXM77" s="139"/>
      <c r="HXN77" s="139"/>
      <c r="HXO77" s="139"/>
      <c r="HXP77" s="139"/>
      <c r="HXQ77" s="139"/>
      <c r="HXR77" s="139"/>
      <c r="HXS77" s="139"/>
      <c r="HXT77" s="139"/>
      <c r="HXU77" s="139"/>
      <c r="HXV77" s="139"/>
      <c r="HXW77" s="139"/>
      <c r="HXX77" s="139"/>
      <c r="HXY77" s="139"/>
      <c r="HXZ77" s="139"/>
      <c r="HYA77" s="139"/>
      <c r="HYB77" s="139"/>
      <c r="HYC77" s="139"/>
      <c r="HYD77" s="139"/>
      <c r="HYE77" s="139"/>
      <c r="HYF77" s="139"/>
      <c r="HYG77" s="139"/>
      <c r="HYH77" s="139"/>
      <c r="HYI77" s="139"/>
      <c r="HYJ77" s="139"/>
      <c r="HYK77" s="139"/>
      <c r="HYL77" s="139"/>
      <c r="HYM77" s="139"/>
      <c r="HYN77" s="139"/>
      <c r="HYO77" s="139"/>
      <c r="HYP77" s="139"/>
      <c r="HYQ77" s="139"/>
      <c r="HYR77" s="139"/>
      <c r="HYS77" s="139"/>
      <c r="HYT77" s="139"/>
      <c r="HYU77" s="139"/>
      <c r="HYV77" s="139"/>
      <c r="HYW77" s="139"/>
      <c r="HYX77" s="139"/>
      <c r="HYY77" s="139"/>
      <c r="HYZ77" s="139"/>
      <c r="HZA77" s="139"/>
      <c r="HZB77" s="139"/>
      <c r="HZC77" s="139"/>
      <c r="HZD77" s="139"/>
      <c r="HZE77" s="139"/>
      <c r="HZF77" s="139"/>
      <c r="HZG77" s="139"/>
      <c r="HZH77" s="139"/>
      <c r="HZI77" s="139"/>
      <c r="HZJ77" s="139"/>
      <c r="HZK77" s="139"/>
      <c r="HZL77" s="139"/>
      <c r="HZM77" s="139"/>
      <c r="HZN77" s="139"/>
      <c r="HZO77" s="139"/>
      <c r="HZP77" s="139"/>
      <c r="HZQ77" s="139"/>
      <c r="HZR77" s="139"/>
      <c r="HZS77" s="139"/>
      <c r="HZT77" s="139"/>
      <c r="HZU77" s="139"/>
      <c r="HZV77" s="139"/>
      <c r="HZW77" s="139"/>
      <c r="HZX77" s="139"/>
      <c r="HZY77" s="139"/>
      <c r="HZZ77" s="139"/>
      <c r="IAA77" s="139"/>
      <c r="IAB77" s="139"/>
      <c r="IAC77" s="139"/>
      <c r="IAD77" s="139"/>
      <c r="IAE77" s="139"/>
      <c r="IAF77" s="139"/>
      <c r="IAG77" s="139"/>
      <c r="IAH77" s="139"/>
      <c r="IAI77" s="139"/>
      <c r="IAJ77" s="139"/>
      <c r="IAK77" s="139"/>
      <c r="IAL77" s="139"/>
      <c r="IAM77" s="139"/>
      <c r="IAN77" s="139"/>
      <c r="IAO77" s="139"/>
      <c r="IAP77" s="139"/>
      <c r="IAQ77" s="139"/>
      <c r="IAR77" s="139"/>
      <c r="IAS77" s="139"/>
      <c r="IAT77" s="139"/>
      <c r="IAU77" s="139"/>
      <c r="IAV77" s="139"/>
      <c r="IAW77" s="139"/>
      <c r="IAX77" s="139"/>
      <c r="IAY77" s="139"/>
      <c r="IAZ77" s="139"/>
      <c r="IBA77" s="139"/>
      <c r="IBB77" s="139"/>
      <c r="IBC77" s="139"/>
      <c r="IBD77" s="139"/>
      <c r="IBE77" s="139"/>
      <c r="IBF77" s="139"/>
      <c r="IBG77" s="139"/>
      <c r="IBH77" s="139"/>
      <c r="IBI77" s="139"/>
      <c r="IBJ77" s="139"/>
      <c r="IBK77" s="139"/>
      <c r="IBL77" s="139"/>
      <c r="IBM77" s="139"/>
      <c r="IBN77" s="139"/>
      <c r="IBO77" s="139"/>
      <c r="IBP77" s="139"/>
      <c r="IBQ77" s="139"/>
      <c r="IBR77" s="139"/>
      <c r="IBS77" s="139"/>
      <c r="IBT77" s="139"/>
      <c r="IBU77" s="139"/>
      <c r="IBV77" s="139"/>
      <c r="IBW77" s="139"/>
      <c r="IBX77" s="139"/>
      <c r="IBY77" s="139"/>
      <c r="IBZ77" s="139"/>
      <c r="ICA77" s="139"/>
      <c r="ICB77" s="139"/>
      <c r="ICC77" s="139"/>
      <c r="ICD77" s="139"/>
      <c r="ICE77" s="139"/>
      <c r="ICF77" s="139"/>
      <c r="ICG77" s="139"/>
      <c r="ICH77" s="139"/>
      <c r="ICI77" s="139"/>
      <c r="ICJ77" s="139"/>
      <c r="ICK77" s="139"/>
      <c r="ICL77" s="139"/>
      <c r="ICM77" s="139"/>
      <c r="ICN77" s="139"/>
      <c r="ICO77" s="139"/>
      <c r="ICP77" s="139"/>
      <c r="ICQ77" s="139"/>
      <c r="ICR77" s="139"/>
      <c r="ICS77" s="139"/>
      <c r="ICT77" s="139"/>
      <c r="ICU77" s="139"/>
      <c r="ICV77" s="139"/>
      <c r="ICW77" s="139"/>
      <c r="ICX77" s="139"/>
      <c r="ICY77" s="139"/>
      <c r="ICZ77" s="139"/>
      <c r="IDA77" s="139"/>
      <c r="IDB77" s="139"/>
      <c r="IDC77" s="139"/>
      <c r="IDD77" s="139"/>
      <c r="IDE77" s="139"/>
      <c r="IDF77" s="139"/>
      <c r="IDG77" s="139"/>
      <c r="IDH77" s="139"/>
      <c r="IDI77" s="139"/>
      <c r="IDJ77" s="139"/>
      <c r="IDK77" s="139"/>
      <c r="IDL77" s="139"/>
      <c r="IDM77" s="139"/>
      <c r="IDN77" s="139"/>
      <c r="IDO77" s="139"/>
      <c r="IDP77" s="139"/>
      <c r="IDQ77" s="139"/>
      <c r="IDR77" s="139"/>
      <c r="IDS77" s="139"/>
      <c r="IDT77" s="139"/>
      <c r="IDU77" s="139"/>
      <c r="IDV77" s="139"/>
      <c r="IDW77" s="139"/>
      <c r="IDX77" s="139"/>
      <c r="IDY77" s="139"/>
      <c r="IDZ77" s="139"/>
      <c r="IEA77" s="139"/>
      <c r="IEB77" s="139"/>
      <c r="IEC77" s="139"/>
      <c r="IED77" s="139"/>
      <c r="IEE77" s="139"/>
      <c r="IEF77" s="139"/>
      <c r="IEG77" s="139"/>
      <c r="IEH77" s="139"/>
      <c r="IEI77" s="139"/>
      <c r="IEJ77" s="139"/>
      <c r="IEK77" s="139"/>
      <c r="IEL77" s="139"/>
      <c r="IEM77" s="139"/>
      <c r="IEN77" s="139"/>
      <c r="IEO77" s="139"/>
      <c r="IEP77" s="139"/>
      <c r="IEQ77" s="139"/>
      <c r="IER77" s="139"/>
      <c r="IES77" s="139"/>
      <c r="IET77" s="139"/>
      <c r="IEU77" s="139"/>
      <c r="IEV77" s="139"/>
      <c r="IEW77" s="139"/>
      <c r="IEX77" s="139"/>
      <c r="IEY77" s="139"/>
      <c r="IEZ77" s="139"/>
      <c r="IFA77" s="139"/>
      <c r="IFB77" s="139"/>
      <c r="IFC77" s="139"/>
      <c r="IFD77" s="139"/>
      <c r="IFE77" s="139"/>
      <c r="IFF77" s="139"/>
      <c r="IFG77" s="139"/>
      <c r="IFH77" s="139"/>
      <c r="IFI77" s="139"/>
      <c r="IFJ77" s="139"/>
      <c r="IFK77" s="139"/>
      <c r="IFL77" s="139"/>
      <c r="IFM77" s="139"/>
      <c r="IFN77" s="139"/>
      <c r="IFO77" s="139"/>
      <c r="IFP77" s="139"/>
      <c r="IFQ77" s="139"/>
      <c r="IFR77" s="139"/>
      <c r="IFS77" s="139"/>
      <c r="IFT77" s="139"/>
      <c r="IFU77" s="139"/>
      <c r="IFV77" s="139"/>
      <c r="IFW77" s="139"/>
      <c r="IFX77" s="139"/>
      <c r="IFY77" s="139"/>
      <c r="IFZ77" s="139"/>
      <c r="IGA77" s="139"/>
      <c r="IGB77" s="139"/>
      <c r="IGC77" s="139"/>
      <c r="IGD77" s="139"/>
      <c r="IGE77" s="139"/>
      <c r="IGF77" s="139"/>
      <c r="IGG77" s="139"/>
      <c r="IGH77" s="139"/>
      <c r="IGI77" s="139"/>
      <c r="IGJ77" s="139"/>
      <c r="IGK77" s="139"/>
      <c r="IGL77" s="139"/>
      <c r="IGM77" s="139"/>
      <c r="IGN77" s="139"/>
      <c r="IGO77" s="139"/>
      <c r="IGP77" s="139"/>
      <c r="IGQ77" s="139"/>
      <c r="IGR77" s="139"/>
      <c r="IGS77" s="139"/>
      <c r="IGT77" s="139"/>
      <c r="IGU77" s="139"/>
      <c r="IGV77" s="139"/>
      <c r="IGW77" s="139"/>
      <c r="IGX77" s="139"/>
      <c r="IGY77" s="139"/>
      <c r="IGZ77" s="139"/>
      <c r="IHA77" s="139"/>
      <c r="IHB77" s="139"/>
      <c r="IHC77" s="139"/>
      <c r="IHD77" s="139"/>
      <c r="IHE77" s="139"/>
      <c r="IHF77" s="139"/>
      <c r="IHG77" s="139"/>
      <c r="IHH77" s="139"/>
      <c r="IHI77" s="139"/>
      <c r="IHJ77" s="139"/>
      <c r="IHK77" s="139"/>
      <c r="IHL77" s="139"/>
      <c r="IHM77" s="139"/>
      <c r="IHN77" s="139"/>
      <c r="IHO77" s="139"/>
      <c r="IHP77" s="139"/>
      <c r="IHQ77" s="139"/>
      <c r="IHR77" s="139"/>
      <c r="IHS77" s="139"/>
      <c r="IHT77" s="139"/>
      <c r="IHU77" s="139"/>
      <c r="IHV77" s="139"/>
      <c r="IHW77" s="139"/>
      <c r="IHX77" s="139"/>
      <c r="IHY77" s="139"/>
      <c r="IHZ77" s="139"/>
      <c r="IIA77" s="139"/>
      <c r="IIB77" s="139"/>
      <c r="IIC77" s="139"/>
      <c r="IID77" s="139"/>
      <c r="IIE77" s="139"/>
      <c r="IIF77" s="139"/>
      <c r="IIG77" s="139"/>
      <c r="IIH77" s="139"/>
      <c r="III77" s="139"/>
      <c r="IIJ77" s="139"/>
      <c r="IIK77" s="139"/>
      <c r="IIL77" s="139"/>
      <c r="IIM77" s="139"/>
      <c r="IIN77" s="139"/>
      <c r="IIO77" s="139"/>
      <c r="IIP77" s="139"/>
      <c r="IIQ77" s="139"/>
      <c r="IIR77" s="139"/>
      <c r="IIS77" s="139"/>
      <c r="IIT77" s="139"/>
      <c r="IIU77" s="139"/>
      <c r="IIV77" s="139"/>
      <c r="IIW77" s="139"/>
      <c r="IIX77" s="139"/>
      <c r="IIY77" s="139"/>
      <c r="IIZ77" s="139"/>
      <c r="IJA77" s="139"/>
      <c r="IJB77" s="139"/>
      <c r="IJC77" s="139"/>
      <c r="IJD77" s="139"/>
      <c r="IJE77" s="139"/>
      <c r="IJF77" s="139"/>
      <c r="IJG77" s="139"/>
      <c r="IJH77" s="139"/>
      <c r="IJI77" s="139"/>
      <c r="IJJ77" s="139"/>
      <c r="IJK77" s="139"/>
      <c r="IJL77" s="139"/>
      <c r="IJM77" s="139"/>
      <c r="IJN77" s="139"/>
      <c r="IJO77" s="139"/>
      <c r="IJP77" s="139"/>
      <c r="IJQ77" s="139"/>
      <c r="IJR77" s="139"/>
      <c r="IJS77" s="139"/>
      <c r="IJT77" s="139"/>
      <c r="IJU77" s="139"/>
      <c r="IJV77" s="139"/>
      <c r="IJW77" s="139"/>
      <c r="IJX77" s="139"/>
      <c r="IJY77" s="139"/>
      <c r="IJZ77" s="139"/>
      <c r="IKA77" s="139"/>
      <c r="IKB77" s="139"/>
      <c r="IKC77" s="139"/>
      <c r="IKD77" s="139"/>
      <c r="IKE77" s="139"/>
      <c r="IKF77" s="139"/>
      <c r="IKG77" s="139"/>
      <c r="IKH77" s="139"/>
      <c r="IKI77" s="139"/>
      <c r="IKJ77" s="139"/>
      <c r="IKK77" s="139"/>
      <c r="IKL77" s="139"/>
      <c r="IKM77" s="139"/>
      <c r="IKN77" s="139"/>
      <c r="IKO77" s="139"/>
      <c r="IKP77" s="139"/>
      <c r="IKQ77" s="139"/>
      <c r="IKR77" s="139"/>
      <c r="IKS77" s="139"/>
      <c r="IKT77" s="139"/>
      <c r="IKU77" s="139"/>
      <c r="IKV77" s="139"/>
      <c r="IKW77" s="139"/>
      <c r="IKX77" s="139"/>
      <c r="IKY77" s="139"/>
      <c r="IKZ77" s="139"/>
      <c r="ILA77" s="139"/>
      <c r="ILB77" s="139"/>
      <c r="ILC77" s="139"/>
      <c r="ILD77" s="139"/>
      <c r="ILE77" s="139"/>
      <c r="ILF77" s="139"/>
      <c r="ILG77" s="139"/>
      <c r="ILH77" s="139"/>
      <c r="ILI77" s="139"/>
      <c r="ILJ77" s="139"/>
      <c r="ILK77" s="139"/>
      <c r="ILL77" s="139"/>
      <c r="ILM77" s="139"/>
      <c r="ILN77" s="139"/>
      <c r="ILO77" s="139"/>
      <c r="ILP77" s="139"/>
      <c r="ILQ77" s="139"/>
      <c r="ILR77" s="139"/>
      <c r="ILS77" s="139"/>
      <c r="ILT77" s="139"/>
      <c r="ILU77" s="139"/>
      <c r="ILV77" s="139"/>
      <c r="ILW77" s="139"/>
      <c r="ILX77" s="139"/>
      <c r="ILY77" s="139"/>
      <c r="ILZ77" s="139"/>
      <c r="IMA77" s="139"/>
      <c r="IMB77" s="139"/>
      <c r="IMC77" s="139"/>
      <c r="IMD77" s="139"/>
      <c r="IME77" s="139"/>
      <c r="IMF77" s="139"/>
      <c r="IMG77" s="139"/>
      <c r="IMH77" s="139"/>
      <c r="IMI77" s="139"/>
      <c r="IMJ77" s="139"/>
      <c r="IMK77" s="139"/>
      <c r="IML77" s="139"/>
      <c r="IMM77" s="139"/>
      <c r="IMN77" s="139"/>
      <c r="IMO77" s="139"/>
      <c r="IMP77" s="139"/>
      <c r="IMQ77" s="139"/>
      <c r="IMR77" s="139"/>
      <c r="IMS77" s="139"/>
      <c r="IMT77" s="139"/>
      <c r="IMU77" s="139"/>
      <c r="IMV77" s="139"/>
      <c r="IMW77" s="139"/>
      <c r="IMX77" s="139"/>
      <c r="IMY77" s="139"/>
      <c r="IMZ77" s="139"/>
      <c r="INA77" s="139"/>
      <c r="INB77" s="139"/>
      <c r="INC77" s="139"/>
      <c r="IND77" s="139"/>
      <c r="INE77" s="139"/>
      <c r="INF77" s="139"/>
      <c r="ING77" s="139"/>
      <c r="INH77" s="139"/>
      <c r="INI77" s="139"/>
      <c r="INJ77" s="139"/>
      <c r="INK77" s="139"/>
      <c r="INL77" s="139"/>
      <c r="INM77" s="139"/>
      <c r="INN77" s="139"/>
      <c r="INO77" s="139"/>
      <c r="INP77" s="139"/>
      <c r="INQ77" s="139"/>
      <c r="INR77" s="139"/>
      <c r="INS77" s="139"/>
      <c r="INT77" s="139"/>
      <c r="INU77" s="139"/>
      <c r="INV77" s="139"/>
      <c r="INW77" s="139"/>
      <c r="INX77" s="139"/>
      <c r="INY77" s="139"/>
      <c r="INZ77" s="139"/>
      <c r="IOA77" s="139"/>
      <c r="IOB77" s="139"/>
      <c r="IOC77" s="139"/>
      <c r="IOD77" s="139"/>
      <c r="IOE77" s="139"/>
      <c r="IOF77" s="139"/>
      <c r="IOG77" s="139"/>
      <c r="IOH77" s="139"/>
      <c r="IOI77" s="139"/>
      <c r="IOJ77" s="139"/>
      <c r="IOK77" s="139"/>
      <c r="IOL77" s="139"/>
      <c r="IOM77" s="139"/>
      <c r="ION77" s="139"/>
      <c r="IOO77" s="139"/>
      <c r="IOP77" s="139"/>
      <c r="IOQ77" s="139"/>
      <c r="IOR77" s="139"/>
      <c r="IOS77" s="139"/>
      <c r="IOT77" s="139"/>
      <c r="IOU77" s="139"/>
      <c r="IOV77" s="139"/>
      <c r="IOW77" s="139"/>
      <c r="IOX77" s="139"/>
      <c r="IOY77" s="139"/>
      <c r="IOZ77" s="139"/>
      <c r="IPA77" s="139"/>
      <c r="IPB77" s="139"/>
      <c r="IPC77" s="139"/>
      <c r="IPD77" s="139"/>
      <c r="IPE77" s="139"/>
      <c r="IPF77" s="139"/>
      <c r="IPG77" s="139"/>
      <c r="IPH77" s="139"/>
      <c r="IPI77" s="139"/>
      <c r="IPJ77" s="139"/>
      <c r="IPK77" s="139"/>
      <c r="IPL77" s="139"/>
      <c r="IPM77" s="139"/>
      <c r="IPN77" s="139"/>
      <c r="IPO77" s="139"/>
      <c r="IPP77" s="139"/>
      <c r="IPQ77" s="139"/>
      <c r="IPR77" s="139"/>
      <c r="IPS77" s="139"/>
      <c r="IPT77" s="139"/>
      <c r="IPU77" s="139"/>
      <c r="IPV77" s="139"/>
      <c r="IPW77" s="139"/>
      <c r="IPX77" s="139"/>
      <c r="IPY77" s="139"/>
      <c r="IPZ77" s="139"/>
      <c r="IQA77" s="139"/>
      <c r="IQB77" s="139"/>
      <c r="IQC77" s="139"/>
      <c r="IQD77" s="139"/>
      <c r="IQE77" s="139"/>
      <c r="IQF77" s="139"/>
      <c r="IQG77" s="139"/>
      <c r="IQH77" s="139"/>
      <c r="IQI77" s="139"/>
      <c r="IQJ77" s="139"/>
      <c r="IQK77" s="139"/>
      <c r="IQL77" s="139"/>
      <c r="IQM77" s="139"/>
      <c r="IQN77" s="139"/>
      <c r="IQO77" s="139"/>
      <c r="IQP77" s="139"/>
      <c r="IQQ77" s="139"/>
      <c r="IQR77" s="139"/>
      <c r="IQS77" s="139"/>
      <c r="IQT77" s="139"/>
      <c r="IQU77" s="139"/>
      <c r="IQV77" s="139"/>
      <c r="IQW77" s="139"/>
      <c r="IQX77" s="139"/>
      <c r="IQY77" s="139"/>
      <c r="IQZ77" s="139"/>
      <c r="IRA77" s="139"/>
      <c r="IRB77" s="139"/>
      <c r="IRC77" s="139"/>
      <c r="IRD77" s="139"/>
      <c r="IRE77" s="139"/>
      <c r="IRF77" s="139"/>
      <c r="IRG77" s="139"/>
      <c r="IRH77" s="139"/>
      <c r="IRI77" s="139"/>
      <c r="IRJ77" s="139"/>
      <c r="IRK77" s="139"/>
      <c r="IRL77" s="139"/>
      <c r="IRM77" s="139"/>
      <c r="IRN77" s="139"/>
      <c r="IRO77" s="139"/>
      <c r="IRP77" s="139"/>
      <c r="IRQ77" s="139"/>
      <c r="IRR77" s="139"/>
      <c r="IRS77" s="139"/>
      <c r="IRT77" s="139"/>
      <c r="IRU77" s="139"/>
      <c r="IRV77" s="139"/>
      <c r="IRW77" s="139"/>
      <c r="IRX77" s="139"/>
      <c r="IRY77" s="139"/>
      <c r="IRZ77" s="139"/>
      <c r="ISA77" s="139"/>
      <c r="ISB77" s="139"/>
      <c r="ISC77" s="139"/>
      <c r="ISD77" s="139"/>
      <c r="ISE77" s="139"/>
      <c r="ISF77" s="139"/>
      <c r="ISG77" s="139"/>
      <c r="ISH77" s="139"/>
      <c r="ISI77" s="139"/>
      <c r="ISJ77" s="139"/>
      <c r="ISK77" s="139"/>
      <c r="ISL77" s="139"/>
      <c r="ISM77" s="139"/>
      <c r="ISN77" s="139"/>
      <c r="ISO77" s="139"/>
      <c r="ISP77" s="139"/>
      <c r="ISQ77" s="139"/>
      <c r="ISR77" s="139"/>
      <c r="ISS77" s="139"/>
      <c r="IST77" s="139"/>
      <c r="ISU77" s="139"/>
      <c r="ISV77" s="139"/>
      <c r="ISW77" s="139"/>
      <c r="ISX77" s="139"/>
      <c r="ISY77" s="139"/>
      <c r="ISZ77" s="139"/>
      <c r="ITA77" s="139"/>
      <c r="ITB77" s="139"/>
      <c r="ITC77" s="139"/>
      <c r="ITD77" s="139"/>
      <c r="ITE77" s="139"/>
      <c r="ITF77" s="139"/>
      <c r="ITG77" s="139"/>
      <c r="ITH77" s="139"/>
      <c r="ITI77" s="139"/>
      <c r="ITJ77" s="139"/>
      <c r="ITK77" s="139"/>
      <c r="ITL77" s="139"/>
      <c r="ITM77" s="139"/>
      <c r="ITN77" s="139"/>
      <c r="ITO77" s="139"/>
      <c r="ITP77" s="139"/>
      <c r="ITQ77" s="139"/>
      <c r="ITR77" s="139"/>
      <c r="ITS77" s="139"/>
      <c r="ITT77" s="139"/>
      <c r="ITU77" s="139"/>
      <c r="ITV77" s="139"/>
      <c r="ITW77" s="139"/>
      <c r="ITX77" s="139"/>
      <c r="ITY77" s="139"/>
      <c r="ITZ77" s="139"/>
      <c r="IUA77" s="139"/>
      <c r="IUB77" s="139"/>
      <c r="IUC77" s="139"/>
      <c r="IUD77" s="139"/>
      <c r="IUE77" s="139"/>
      <c r="IUF77" s="139"/>
      <c r="IUG77" s="139"/>
      <c r="IUH77" s="139"/>
      <c r="IUI77" s="139"/>
      <c r="IUJ77" s="139"/>
      <c r="IUK77" s="139"/>
      <c r="IUL77" s="139"/>
      <c r="IUM77" s="139"/>
      <c r="IUN77" s="139"/>
      <c r="IUO77" s="139"/>
      <c r="IUP77" s="139"/>
      <c r="IUQ77" s="139"/>
      <c r="IUR77" s="139"/>
      <c r="IUS77" s="139"/>
      <c r="IUT77" s="139"/>
      <c r="IUU77" s="139"/>
      <c r="IUV77" s="139"/>
      <c r="IUW77" s="139"/>
      <c r="IUX77" s="139"/>
      <c r="IUY77" s="139"/>
      <c r="IUZ77" s="139"/>
      <c r="IVA77" s="139"/>
      <c r="IVB77" s="139"/>
      <c r="IVC77" s="139"/>
      <c r="IVD77" s="139"/>
      <c r="IVE77" s="139"/>
      <c r="IVF77" s="139"/>
      <c r="IVG77" s="139"/>
      <c r="IVH77" s="139"/>
      <c r="IVI77" s="139"/>
      <c r="IVJ77" s="139"/>
      <c r="IVK77" s="139"/>
      <c r="IVL77" s="139"/>
      <c r="IVM77" s="139"/>
      <c r="IVN77" s="139"/>
      <c r="IVO77" s="139"/>
      <c r="IVP77" s="139"/>
      <c r="IVQ77" s="139"/>
      <c r="IVR77" s="139"/>
      <c r="IVS77" s="139"/>
      <c r="IVT77" s="139"/>
      <c r="IVU77" s="139"/>
      <c r="IVV77" s="139"/>
      <c r="IVW77" s="139"/>
      <c r="IVX77" s="139"/>
      <c r="IVY77" s="139"/>
      <c r="IVZ77" s="139"/>
      <c r="IWA77" s="139"/>
      <c r="IWB77" s="139"/>
      <c r="IWC77" s="139"/>
      <c r="IWD77" s="139"/>
      <c r="IWE77" s="139"/>
      <c r="IWF77" s="139"/>
      <c r="IWG77" s="139"/>
      <c r="IWH77" s="139"/>
      <c r="IWI77" s="139"/>
      <c r="IWJ77" s="139"/>
      <c r="IWK77" s="139"/>
      <c r="IWL77" s="139"/>
      <c r="IWM77" s="139"/>
      <c r="IWN77" s="139"/>
      <c r="IWO77" s="139"/>
      <c r="IWP77" s="139"/>
      <c r="IWQ77" s="139"/>
      <c r="IWR77" s="139"/>
      <c r="IWS77" s="139"/>
      <c r="IWT77" s="139"/>
      <c r="IWU77" s="139"/>
      <c r="IWV77" s="139"/>
      <c r="IWW77" s="139"/>
      <c r="IWX77" s="139"/>
      <c r="IWY77" s="139"/>
      <c r="IWZ77" s="139"/>
      <c r="IXA77" s="139"/>
      <c r="IXB77" s="139"/>
      <c r="IXC77" s="139"/>
      <c r="IXD77" s="139"/>
      <c r="IXE77" s="139"/>
      <c r="IXF77" s="139"/>
      <c r="IXG77" s="139"/>
      <c r="IXH77" s="139"/>
      <c r="IXI77" s="139"/>
      <c r="IXJ77" s="139"/>
      <c r="IXK77" s="139"/>
      <c r="IXL77" s="139"/>
      <c r="IXM77" s="139"/>
      <c r="IXN77" s="139"/>
      <c r="IXO77" s="139"/>
      <c r="IXP77" s="139"/>
      <c r="IXQ77" s="139"/>
      <c r="IXR77" s="139"/>
      <c r="IXS77" s="139"/>
      <c r="IXT77" s="139"/>
      <c r="IXU77" s="139"/>
      <c r="IXV77" s="139"/>
      <c r="IXW77" s="139"/>
      <c r="IXX77" s="139"/>
      <c r="IXY77" s="139"/>
      <c r="IXZ77" s="139"/>
      <c r="IYA77" s="139"/>
      <c r="IYB77" s="139"/>
      <c r="IYC77" s="139"/>
      <c r="IYD77" s="139"/>
      <c r="IYE77" s="139"/>
      <c r="IYF77" s="139"/>
      <c r="IYG77" s="139"/>
      <c r="IYH77" s="139"/>
      <c r="IYI77" s="139"/>
      <c r="IYJ77" s="139"/>
      <c r="IYK77" s="139"/>
      <c r="IYL77" s="139"/>
      <c r="IYM77" s="139"/>
      <c r="IYN77" s="139"/>
      <c r="IYO77" s="139"/>
      <c r="IYP77" s="139"/>
      <c r="IYQ77" s="139"/>
      <c r="IYR77" s="139"/>
      <c r="IYS77" s="139"/>
      <c r="IYT77" s="139"/>
      <c r="IYU77" s="139"/>
      <c r="IYV77" s="139"/>
      <c r="IYW77" s="139"/>
      <c r="IYX77" s="139"/>
      <c r="IYY77" s="139"/>
      <c r="IYZ77" s="139"/>
      <c r="IZA77" s="139"/>
      <c r="IZB77" s="139"/>
      <c r="IZC77" s="139"/>
      <c r="IZD77" s="139"/>
      <c r="IZE77" s="139"/>
      <c r="IZF77" s="139"/>
      <c r="IZG77" s="139"/>
      <c r="IZH77" s="139"/>
      <c r="IZI77" s="139"/>
      <c r="IZJ77" s="139"/>
      <c r="IZK77" s="139"/>
      <c r="IZL77" s="139"/>
      <c r="IZM77" s="139"/>
      <c r="IZN77" s="139"/>
      <c r="IZO77" s="139"/>
      <c r="IZP77" s="139"/>
      <c r="IZQ77" s="139"/>
      <c r="IZR77" s="139"/>
      <c r="IZS77" s="139"/>
      <c r="IZT77" s="139"/>
      <c r="IZU77" s="139"/>
      <c r="IZV77" s="139"/>
      <c r="IZW77" s="139"/>
      <c r="IZX77" s="139"/>
      <c r="IZY77" s="139"/>
      <c r="IZZ77" s="139"/>
      <c r="JAA77" s="139"/>
      <c r="JAB77" s="139"/>
      <c r="JAC77" s="139"/>
      <c r="JAD77" s="139"/>
      <c r="JAE77" s="139"/>
      <c r="JAF77" s="139"/>
      <c r="JAG77" s="139"/>
      <c r="JAH77" s="139"/>
      <c r="JAI77" s="139"/>
      <c r="JAJ77" s="139"/>
      <c r="JAK77" s="139"/>
      <c r="JAL77" s="139"/>
      <c r="JAM77" s="139"/>
      <c r="JAN77" s="139"/>
      <c r="JAO77" s="139"/>
      <c r="JAP77" s="139"/>
      <c r="JAQ77" s="139"/>
      <c r="JAR77" s="139"/>
      <c r="JAS77" s="139"/>
      <c r="JAT77" s="139"/>
      <c r="JAU77" s="139"/>
      <c r="JAV77" s="139"/>
      <c r="JAW77" s="139"/>
      <c r="JAX77" s="139"/>
      <c r="JAY77" s="139"/>
      <c r="JAZ77" s="139"/>
      <c r="JBA77" s="139"/>
      <c r="JBB77" s="139"/>
      <c r="JBC77" s="139"/>
      <c r="JBD77" s="139"/>
      <c r="JBE77" s="139"/>
      <c r="JBF77" s="139"/>
      <c r="JBG77" s="139"/>
      <c r="JBH77" s="139"/>
      <c r="JBI77" s="139"/>
      <c r="JBJ77" s="139"/>
      <c r="JBK77" s="139"/>
      <c r="JBL77" s="139"/>
      <c r="JBM77" s="139"/>
      <c r="JBN77" s="139"/>
      <c r="JBO77" s="139"/>
      <c r="JBP77" s="139"/>
      <c r="JBQ77" s="139"/>
      <c r="JBR77" s="139"/>
      <c r="JBS77" s="139"/>
      <c r="JBT77" s="139"/>
      <c r="JBU77" s="139"/>
      <c r="JBV77" s="139"/>
      <c r="JBW77" s="139"/>
      <c r="JBX77" s="139"/>
      <c r="JBY77" s="139"/>
      <c r="JBZ77" s="139"/>
      <c r="JCA77" s="139"/>
      <c r="JCB77" s="139"/>
      <c r="JCC77" s="139"/>
      <c r="JCD77" s="139"/>
      <c r="JCE77" s="139"/>
      <c r="JCF77" s="139"/>
      <c r="JCG77" s="139"/>
      <c r="JCH77" s="139"/>
      <c r="JCI77" s="139"/>
      <c r="JCJ77" s="139"/>
      <c r="JCK77" s="139"/>
      <c r="JCL77" s="139"/>
      <c r="JCM77" s="139"/>
      <c r="JCN77" s="139"/>
      <c r="JCO77" s="139"/>
      <c r="JCP77" s="139"/>
      <c r="JCQ77" s="139"/>
      <c r="JCR77" s="139"/>
      <c r="JCS77" s="139"/>
      <c r="JCT77" s="139"/>
      <c r="JCU77" s="139"/>
      <c r="JCV77" s="139"/>
      <c r="JCW77" s="139"/>
      <c r="JCX77" s="139"/>
      <c r="JCY77" s="139"/>
      <c r="JCZ77" s="139"/>
      <c r="JDA77" s="139"/>
      <c r="JDB77" s="139"/>
      <c r="JDC77" s="139"/>
      <c r="JDD77" s="139"/>
      <c r="JDE77" s="139"/>
      <c r="JDF77" s="139"/>
      <c r="JDG77" s="139"/>
      <c r="JDH77" s="139"/>
      <c r="JDI77" s="139"/>
      <c r="JDJ77" s="139"/>
      <c r="JDK77" s="139"/>
      <c r="JDL77" s="139"/>
      <c r="JDM77" s="139"/>
      <c r="JDN77" s="139"/>
      <c r="JDO77" s="139"/>
      <c r="JDP77" s="139"/>
      <c r="JDQ77" s="139"/>
      <c r="JDR77" s="139"/>
      <c r="JDS77" s="139"/>
      <c r="JDT77" s="139"/>
      <c r="JDU77" s="139"/>
      <c r="JDV77" s="139"/>
      <c r="JDW77" s="139"/>
      <c r="JDX77" s="139"/>
      <c r="JDY77" s="139"/>
      <c r="JDZ77" s="139"/>
      <c r="JEA77" s="139"/>
      <c r="JEB77" s="139"/>
      <c r="JEC77" s="139"/>
      <c r="JED77" s="139"/>
      <c r="JEE77" s="139"/>
      <c r="JEF77" s="139"/>
      <c r="JEG77" s="139"/>
      <c r="JEH77" s="139"/>
      <c r="JEI77" s="139"/>
      <c r="JEJ77" s="139"/>
      <c r="JEK77" s="139"/>
      <c r="JEL77" s="139"/>
      <c r="JEM77" s="139"/>
      <c r="JEN77" s="139"/>
      <c r="JEO77" s="139"/>
      <c r="JEP77" s="139"/>
      <c r="JEQ77" s="139"/>
      <c r="JER77" s="139"/>
      <c r="JES77" s="139"/>
      <c r="JET77" s="139"/>
      <c r="JEU77" s="139"/>
      <c r="JEV77" s="139"/>
      <c r="JEW77" s="139"/>
      <c r="JEX77" s="139"/>
      <c r="JEY77" s="139"/>
      <c r="JEZ77" s="139"/>
      <c r="JFA77" s="139"/>
      <c r="JFB77" s="139"/>
      <c r="JFC77" s="139"/>
      <c r="JFD77" s="139"/>
      <c r="JFE77" s="139"/>
      <c r="JFF77" s="139"/>
      <c r="JFG77" s="139"/>
      <c r="JFH77" s="139"/>
      <c r="JFI77" s="139"/>
      <c r="JFJ77" s="139"/>
      <c r="JFK77" s="139"/>
      <c r="JFL77" s="139"/>
      <c r="JFM77" s="139"/>
      <c r="JFN77" s="139"/>
      <c r="JFO77" s="139"/>
      <c r="JFP77" s="139"/>
      <c r="JFQ77" s="139"/>
      <c r="JFR77" s="139"/>
      <c r="JFS77" s="139"/>
      <c r="JFT77" s="139"/>
      <c r="JFU77" s="139"/>
      <c r="JFV77" s="139"/>
      <c r="JFW77" s="139"/>
      <c r="JFX77" s="139"/>
      <c r="JFY77" s="139"/>
      <c r="JFZ77" s="139"/>
      <c r="JGA77" s="139"/>
      <c r="JGB77" s="139"/>
      <c r="JGC77" s="139"/>
      <c r="JGD77" s="139"/>
      <c r="JGE77" s="139"/>
      <c r="JGF77" s="139"/>
      <c r="JGG77" s="139"/>
      <c r="JGH77" s="139"/>
      <c r="JGI77" s="139"/>
      <c r="JGJ77" s="139"/>
      <c r="JGK77" s="139"/>
      <c r="JGL77" s="139"/>
      <c r="JGM77" s="139"/>
      <c r="JGN77" s="139"/>
      <c r="JGO77" s="139"/>
      <c r="JGP77" s="139"/>
      <c r="JGQ77" s="139"/>
      <c r="JGR77" s="139"/>
      <c r="JGS77" s="139"/>
      <c r="JGT77" s="139"/>
      <c r="JGU77" s="139"/>
      <c r="JGV77" s="139"/>
      <c r="JGW77" s="139"/>
      <c r="JGX77" s="139"/>
      <c r="JGY77" s="139"/>
      <c r="JGZ77" s="139"/>
      <c r="JHA77" s="139"/>
      <c r="JHB77" s="139"/>
      <c r="JHC77" s="139"/>
      <c r="JHD77" s="139"/>
      <c r="JHE77" s="139"/>
      <c r="JHF77" s="139"/>
      <c r="JHG77" s="139"/>
      <c r="JHH77" s="139"/>
      <c r="JHI77" s="139"/>
      <c r="JHJ77" s="139"/>
      <c r="JHK77" s="139"/>
      <c r="JHL77" s="139"/>
      <c r="JHM77" s="139"/>
      <c r="JHN77" s="139"/>
      <c r="JHO77" s="139"/>
      <c r="JHP77" s="139"/>
      <c r="JHQ77" s="139"/>
      <c r="JHR77" s="139"/>
      <c r="JHS77" s="139"/>
      <c r="JHT77" s="139"/>
      <c r="JHU77" s="139"/>
      <c r="JHV77" s="139"/>
      <c r="JHW77" s="139"/>
      <c r="JHX77" s="139"/>
      <c r="JHY77" s="139"/>
      <c r="JHZ77" s="139"/>
      <c r="JIA77" s="139"/>
      <c r="JIB77" s="139"/>
      <c r="JIC77" s="139"/>
      <c r="JID77" s="139"/>
      <c r="JIE77" s="139"/>
      <c r="JIF77" s="139"/>
      <c r="JIG77" s="139"/>
      <c r="JIH77" s="139"/>
      <c r="JII77" s="139"/>
      <c r="JIJ77" s="139"/>
      <c r="JIK77" s="139"/>
      <c r="JIL77" s="139"/>
      <c r="JIM77" s="139"/>
      <c r="JIN77" s="139"/>
      <c r="JIO77" s="139"/>
      <c r="JIP77" s="139"/>
      <c r="JIQ77" s="139"/>
      <c r="JIR77" s="139"/>
      <c r="JIS77" s="139"/>
      <c r="JIT77" s="139"/>
      <c r="JIU77" s="139"/>
      <c r="JIV77" s="139"/>
      <c r="JIW77" s="139"/>
      <c r="JIX77" s="139"/>
      <c r="JIY77" s="139"/>
      <c r="JIZ77" s="139"/>
      <c r="JJA77" s="139"/>
      <c r="JJB77" s="139"/>
      <c r="JJC77" s="139"/>
      <c r="JJD77" s="139"/>
      <c r="JJE77" s="139"/>
      <c r="JJF77" s="139"/>
      <c r="JJG77" s="139"/>
      <c r="JJH77" s="139"/>
      <c r="JJI77" s="139"/>
      <c r="JJJ77" s="139"/>
      <c r="JJK77" s="139"/>
      <c r="JJL77" s="139"/>
      <c r="JJM77" s="139"/>
      <c r="JJN77" s="139"/>
      <c r="JJO77" s="139"/>
      <c r="JJP77" s="139"/>
      <c r="JJQ77" s="139"/>
      <c r="JJR77" s="139"/>
      <c r="JJS77" s="139"/>
      <c r="JJT77" s="139"/>
      <c r="JJU77" s="139"/>
      <c r="JJV77" s="139"/>
      <c r="JJW77" s="139"/>
      <c r="JJX77" s="139"/>
      <c r="JJY77" s="139"/>
      <c r="JJZ77" s="139"/>
      <c r="JKA77" s="139"/>
      <c r="JKB77" s="139"/>
      <c r="JKC77" s="139"/>
      <c r="JKD77" s="139"/>
      <c r="JKE77" s="139"/>
      <c r="JKF77" s="139"/>
      <c r="JKG77" s="139"/>
      <c r="JKH77" s="139"/>
      <c r="JKI77" s="139"/>
      <c r="JKJ77" s="139"/>
      <c r="JKK77" s="139"/>
      <c r="JKL77" s="139"/>
      <c r="JKM77" s="139"/>
      <c r="JKN77" s="139"/>
      <c r="JKO77" s="139"/>
      <c r="JKP77" s="139"/>
      <c r="JKQ77" s="139"/>
      <c r="JKR77" s="139"/>
      <c r="JKS77" s="139"/>
      <c r="JKT77" s="139"/>
      <c r="JKU77" s="139"/>
      <c r="JKV77" s="139"/>
      <c r="JKW77" s="139"/>
      <c r="JKX77" s="139"/>
      <c r="JKY77" s="139"/>
      <c r="JKZ77" s="139"/>
      <c r="JLA77" s="139"/>
      <c r="JLB77" s="139"/>
      <c r="JLC77" s="139"/>
      <c r="JLD77" s="139"/>
      <c r="JLE77" s="139"/>
      <c r="JLF77" s="139"/>
      <c r="JLG77" s="139"/>
      <c r="JLH77" s="139"/>
      <c r="JLI77" s="139"/>
      <c r="JLJ77" s="139"/>
      <c r="JLK77" s="139"/>
      <c r="JLL77" s="139"/>
      <c r="JLM77" s="139"/>
      <c r="JLN77" s="139"/>
      <c r="JLO77" s="139"/>
      <c r="JLP77" s="139"/>
      <c r="JLQ77" s="139"/>
      <c r="JLR77" s="139"/>
      <c r="JLS77" s="139"/>
      <c r="JLT77" s="139"/>
      <c r="JLU77" s="139"/>
      <c r="JLV77" s="139"/>
      <c r="JLW77" s="139"/>
      <c r="JLX77" s="139"/>
      <c r="JLY77" s="139"/>
      <c r="JLZ77" s="139"/>
      <c r="JMA77" s="139"/>
      <c r="JMB77" s="139"/>
      <c r="JMC77" s="139"/>
      <c r="JMD77" s="139"/>
      <c r="JME77" s="139"/>
      <c r="JMF77" s="139"/>
      <c r="JMG77" s="139"/>
      <c r="JMH77" s="139"/>
      <c r="JMI77" s="139"/>
      <c r="JMJ77" s="139"/>
      <c r="JMK77" s="139"/>
      <c r="JML77" s="139"/>
      <c r="JMM77" s="139"/>
      <c r="JMN77" s="139"/>
      <c r="JMO77" s="139"/>
      <c r="JMP77" s="139"/>
      <c r="JMQ77" s="139"/>
      <c r="JMR77" s="139"/>
      <c r="JMS77" s="139"/>
      <c r="JMT77" s="139"/>
      <c r="JMU77" s="139"/>
      <c r="JMV77" s="139"/>
      <c r="JMW77" s="139"/>
      <c r="JMX77" s="139"/>
      <c r="JMY77" s="139"/>
      <c r="JMZ77" s="139"/>
      <c r="JNA77" s="139"/>
      <c r="JNB77" s="139"/>
      <c r="JNC77" s="139"/>
      <c r="JND77" s="139"/>
      <c r="JNE77" s="139"/>
      <c r="JNF77" s="139"/>
      <c r="JNG77" s="139"/>
      <c r="JNH77" s="139"/>
      <c r="JNI77" s="139"/>
      <c r="JNJ77" s="139"/>
      <c r="JNK77" s="139"/>
      <c r="JNL77" s="139"/>
      <c r="JNM77" s="139"/>
      <c r="JNN77" s="139"/>
      <c r="JNO77" s="139"/>
      <c r="JNP77" s="139"/>
      <c r="JNQ77" s="139"/>
      <c r="JNR77" s="139"/>
      <c r="JNS77" s="139"/>
      <c r="JNT77" s="139"/>
      <c r="JNU77" s="139"/>
      <c r="JNV77" s="139"/>
      <c r="JNW77" s="139"/>
      <c r="JNX77" s="139"/>
      <c r="JNY77" s="139"/>
      <c r="JNZ77" s="139"/>
      <c r="JOA77" s="139"/>
      <c r="JOB77" s="139"/>
      <c r="JOC77" s="139"/>
      <c r="JOD77" s="139"/>
      <c r="JOE77" s="139"/>
      <c r="JOF77" s="139"/>
      <c r="JOG77" s="139"/>
      <c r="JOH77" s="139"/>
      <c r="JOI77" s="139"/>
      <c r="JOJ77" s="139"/>
      <c r="JOK77" s="139"/>
      <c r="JOL77" s="139"/>
      <c r="JOM77" s="139"/>
      <c r="JON77" s="139"/>
      <c r="JOO77" s="139"/>
      <c r="JOP77" s="139"/>
      <c r="JOQ77" s="139"/>
      <c r="JOR77" s="139"/>
      <c r="JOS77" s="139"/>
      <c r="JOT77" s="139"/>
      <c r="JOU77" s="139"/>
      <c r="JOV77" s="139"/>
      <c r="JOW77" s="139"/>
      <c r="JOX77" s="139"/>
      <c r="JOY77" s="139"/>
      <c r="JOZ77" s="139"/>
      <c r="JPA77" s="139"/>
      <c r="JPB77" s="139"/>
      <c r="JPC77" s="139"/>
      <c r="JPD77" s="139"/>
      <c r="JPE77" s="139"/>
      <c r="JPF77" s="139"/>
      <c r="JPG77" s="139"/>
      <c r="JPH77" s="139"/>
      <c r="JPI77" s="139"/>
      <c r="JPJ77" s="139"/>
      <c r="JPK77" s="139"/>
      <c r="JPL77" s="139"/>
      <c r="JPM77" s="139"/>
      <c r="JPN77" s="139"/>
      <c r="JPO77" s="139"/>
      <c r="JPP77" s="139"/>
      <c r="JPQ77" s="139"/>
      <c r="JPR77" s="139"/>
      <c r="JPS77" s="139"/>
      <c r="JPT77" s="139"/>
      <c r="JPU77" s="139"/>
      <c r="JPV77" s="139"/>
      <c r="JPW77" s="139"/>
      <c r="JPX77" s="139"/>
      <c r="JPY77" s="139"/>
      <c r="JPZ77" s="139"/>
      <c r="JQA77" s="139"/>
      <c r="JQB77" s="139"/>
      <c r="JQC77" s="139"/>
      <c r="JQD77" s="139"/>
      <c r="JQE77" s="139"/>
      <c r="JQF77" s="139"/>
      <c r="JQG77" s="139"/>
      <c r="JQH77" s="139"/>
      <c r="JQI77" s="139"/>
      <c r="JQJ77" s="139"/>
      <c r="JQK77" s="139"/>
      <c r="JQL77" s="139"/>
      <c r="JQM77" s="139"/>
      <c r="JQN77" s="139"/>
      <c r="JQO77" s="139"/>
      <c r="JQP77" s="139"/>
      <c r="JQQ77" s="139"/>
      <c r="JQR77" s="139"/>
      <c r="JQS77" s="139"/>
      <c r="JQT77" s="139"/>
      <c r="JQU77" s="139"/>
      <c r="JQV77" s="139"/>
      <c r="JQW77" s="139"/>
      <c r="JQX77" s="139"/>
      <c r="JQY77" s="139"/>
      <c r="JQZ77" s="139"/>
      <c r="JRA77" s="139"/>
      <c r="JRB77" s="139"/>
      <c r="JRC77" s="139"/>
      <c r="JRD77" s="139"/>
      <c r="JRE77" s="139"/>
      <c r="JRF77" s="139"/>
      <c r="JRG77" s="139"/>
      <c r="JRH77" s="139"/>
      <c r="JRI77" s="139"/>
      <c r="JRJ77" s="139"/>
      <c r="JRK77" s="139"/>
      <c r="JRL77" s="139"/>
      <c r="JRM77" s="139"/>
      <c r="JRN77" s="139"/>
      <c r="JRO77" s="139"/>
      <c r="JRP77" s="139"/>
      <c r="JRQ77" s="139"/>
      <c r="JRR77" s="139"/>
      <c r="JRS77" s="139"/>
      <c r="JRT77" s="139"/>
      <c r="JRU77" s="139"/>
      <c r="JRV77" s="139"/>
      <c r="JRW77" s="139"/>
      <c r="JRX77" s="139"/>
      <c r="JRY77" s="139"/>
      <c r="JRZ77" s="139"/>
      <c r="JSA77" s="139"/>
      <c r="JSB77" s="139"/>
      <c r="JSC77" s="139"/>
      <c r="JSD77" s="139"/>
      <c r="JSE77" s="139"/>
      <c r="JSF77" s="139"/>
      <c r="JSG77" s="139"/>
      <c r="JSH77" s="139"/>
      <c r="JSI77" s="139"/>
      <c r="JSJ77" s="139"/>
      <c r="JSK77" s="139"/>
      <c r="JSL77" s="139"/>
      <c r="JSM77" s="139"/>
      <c r="JSN77" s="139"/>
      <c r="JSO77" s="139"/>
      <c r="JSP77" s="139"/>
      <c r="JSQ77" s="139"/>
      <c r="JSR77" s="139"/>
      <c r="JSS77" s="139"/>
      <c r="JST77" s="139"/>
      <c r="JSU77" s="139"/>
      <c r="JSV77" s="139"/>
      <c r="JSW77" s="139"/>
      <c r="JSX77" s="139"/>
      <c r="JSY77" s="139"/>
      <c r="JSZ77" s="139"/>
      <c r="JTA77" s="139"/>
      <c r="JTB77" s="139"/>
      <c r="JTC77" s="139"/>
      <c r="JTD77" s="139"/>
      <c r="JTE77" s="139"/>
      <c r="JTF77" s="139"/>
      <c r="JTG77" s="139"/>
      <c r="JTH77" s="139"/>
      <c r="JTI77" s="139"/>
      <c r="JTJ77" s="139"/>
      <c r="JTK77" s="139"/>
      <c r="JTL77" s="139"/>
      <c r="JTM77" s="139"/>
      <c r="JTN77" s="139"/>
      <c r="JTO77" s="139"/>
      <c r="JTP77" s="139"/>
      <c r="JTQ77" s="139"/>
      <c r="JTR77" s="139"/>
      <c r="JTS77" s="139"/>
      <c r="JTT77" s="139"/>
      <c r="JTU77" s="139"/>
      <c r="JTV77" s="139"/>
      <c r="JTW77" s="139"/>
      <c r="JTX77" s="139"/>
      <c r="JTY77" s="139"/>
      <c r="JTZ77" s="139"/>
      <c r="JUA77" s="139"/>
      <c r="JUB77" s="139"/>
      <c r="JUC77" s="139"/>
      <c r="JUD77" s="139"/>
      <c r="JUE77" s="139"/>
      <c r="JUF77" s="139"/>
      <c r="JUG77" s="139"/>
      <c r="JUH77" s="139"/>
      <c r="JUI77" s="139"/>
      <c r="JUJ77" s="139"/>
      <c r="JUK77" s="139"/>
      <c r="JUL77" s="139"/>
      <c r="JUM77" s="139"/>
      <c r="JUN77" s="139"/>
      <c r="JUO77" s="139"/>
      <c r="JUP77" s="139"/>
      <c r="JUQ77" s="139"/>
      <c r="JUR77" s="139"/>
      <c r="JUS77" s="139"/>
      <c r="JUT77" s="139"/>
      <c r="JUU77" s="139"/>
      <c r="JUV77" s="139"/>
      <c r="JUW77" s="139"/>
      <c r="JUX77" s="139"/>
      <c r="JUY77" s="139"/>
      <c r="JUZ77" s="139"/>
      <c r="JVA77" s="139"/>
      <c r="JVB77" s="139"/>
      <c r="JVC77" s="139"/>
      <c r="JVD77" s="139"/>
      <c r="JVE77" s="139"/>
      <c r="JVF77" s="139"/>
      <c r="JVG77" s="139"/>
      <c r="JVH77" s="139"/>
      <c r="JVI77" s="139"/>
      <c r="JVJ77" s="139"/>
      <c r="JVK77" s="139"/>
      <c r="JVL77" s="139"/>
      <c r="JVM77" s="139"/>
      <c r="JVN77" s="139"/>
      <c r="JVO77" s="139"/>
      <c r="JVP77" s="139"/>
      <c r="JVQ77" s="139"/>
      <c r="JVR77" s="139"/>
      <c r="JVS77" s="139"/>
      <c r="JVT77" s="139"/>
      <c r="JVU77" s="139"/>
      <c r="JVV77" s="139"/>
      <c r="JVW77" s="139"/>
      <c r="JVX77" s="139"/>
      <c r="JVY77" s="139"/>
      <c r="JVZ77" s="139"/>
      <c r="JWA77" s="139"/>
      <c r="JWB77" s="139"/>
      <c r="JWC77" s="139"/>
      <c r="JWD77" s="139"/>
      <c r="JWE77" s="139"/>
      <c r="JWF77" s="139"/>
      <c r="JWG77" s="139"/>
      <c r="JWH77" s="139"/>
      <c r="JWI77" s="139"/>
      <c r="JWJ77" s="139"/>
      <c r="JWK77" s="139"/>
      <c r="JWL77" s="139"/>
      <c r="JWM77" s="139"/>
      <c r="JWN77" s="139"/>
      <c r="JWO77" s="139"/>
      <c r="JWP77" s="139"/>
      <c r="JWQ77" s="139"/>
      <c r="JWR77" s="139"/>
      <c r="JWS77" s="139"/>
      <c r="JWT77" s="139"/>
      <c r="JWU77" s="139"/>
      <c r="JWV77" s="139"/>
      <c r="JWW77" s="139"/>
      <c r="JWX77" s="139"/>
      <c r="JWY77" s="139"/>
      <c r="JWZ77" s="139"/>
      <c r="JXA77" s="139"/>
      <c r="JXB77" s="139"/>
      <c r="JXC77" s="139"/>
      <c r="JXD77" s="139"/>
      <c r="JXE77" s="139"/>
      <c r="JXF77" s="139"/>
      <c r="JXG77" s="139"/>
      <c r="JXH77" s="139"/>
      <c r="JXI77" s="139"/>
      <c r="JXJ77" s="139"/>
      <c r="JXK77" s="139"/>
      <c r="JXL77" s="139"/>
      <c r="JXM77" s="139"/>
      <c r="JXN77" s="139"/>
      <c r="JXO77" s="139"/>
      <c r="JXP77" s="139"/>
      <c r="JXQ77" s="139"/>
      <c r="JXR77" s="139"/>
      <c r="JXS77" s="139"/>
      <c r="JXT77" s="139"/>
      <c r="JXU77" s="139"/>
      <c r="JXV77" s="139"/>
      <c r="JXW77" s="139"/>
      <c r="JXX77" s="139"/>
      <c r="JXY77" s="139"/>
      <c r="JXZ77" s="139"/>
      <c r="JYA77" s="139"/>
      <c r="JYB77" s="139"/>
      <c r="JYC77" s="139"/>
      <c r="JYD77" s="139"/>
      <c r="JYE77" s="139"/>
      <c r="JYF77" s="139"/>
      <c r="JYG77" s="139"/>
      <c r="JYH77" s="139"/>
      <c r="JYI77" s="139"/>
      <c r="JYJ77" s="139"/>
      <c r="JYK77" s="139"/>
      <c r="JYL77" s="139"/>
      <c r="JYM77" s="139"/>
      <c r="JYN77" s="139"/>
      <c r="JYO77" s="139"/>
      <c r="JYP77" s="139"/>
      <c r="JYQ77" s="139"/>
      <c r="JYR77" s="139"/>
      <c r="JYS77" s="139"/>
      <c r="JYT77" s="139"/>
      <c r="JYU77" s="139"/>
      <c r="JYV77" s="139"/>
      <c r="JYW77" s="139"/>
      <c r="JYX77" s="139"/>
      <c r="JYY77" s="139"/>
      <c r="JYZ77" s="139"/>
      <c r="JZA77" s="139"/>
      <c r="JZB77" s="139"/>
      <c r="JZC77" s="139"/>
      <c r="JZD77" s="139"/>
      <c r="JZE77" s="139"/>
      <c r="JZF77" s="139"/>
      <c r="JZG77" s="139"/>
      <c r="JZH77" s="139"/>
      <c r="JZI77" s="139"/>
      <c r="JZJ77" s="139"/>
      <c r="JZK77" s="139"/>
      <c r="JZL77" s="139"/>
      <c r="JZM77" s="139"/>
      <c r="JZN77" s="139"/>
      <c r="JZO77" s="139"/>
      <c r="JZP77" s="139"/>
      <c r="JZQ77" s="139"/>
      <c r="JZR77" s="139"/>
      <c r="JZS77" s="139"/>
      <c r="JZT77" s="139"/>
      <c r="JZU77" s="139"/>
      <c r="JZV77" s="139"/>
      <c r="JZW77" s="139"/>
      <c r="JZX77" s="139"/>
      <c r="JZY77" s="139"/>
      <c r="JZZ77" s="139"/>
      <c r="KAA77" s="139"/>
      <c r="KAB77" s="139"/>
      <c r="KAC77" s="139"/>
      <c r="KAD77" s="139"/>
      <c r="KAE77" s="139"/>
      <c r="KAF77" s="139"/>
      <c r="KAG77" s="139"/>
      <c r="KAH77" s="139"/>
      <c r="KAI77" s="139"/>
      <c r="KAJ77" s="139"/>
      <c r="KAK77" s="139"/>
      <c r="KAL77" s="139"/>
      <c r="KAM77" s="139"/>
      <c r="KAN77" s="139"/>
      <c r="KAO77" s="139"/>
      <c r="KAP77" s="139"/>
      <c r="KAQ77" s="139"/>
      <c r="KAR77" s="139"/>
      <c r="KAS77" s="139"/>
      <c r="KAT77" s="139"/>
      <c r="KAU77" s="139"/>
      <c r="KAV77" s="139"/>
      <c r="KAW77" s="139"/>
      <c r="KAX77" s="139"/>
      <c r="KAY77" s="139"/>
      <c r="KAZ77" s="139"/>
      <c r="KBA77" s="139"/>
      <c r="KBB77" s="139"/>
      <c r="KBC77" s="139"/>
      <c r="KBD77" s="139"/>
      <c r="KBE77" s="139"/>
      <c r="KBF77" s="139"/>
      <c r="KBG77" s="139"/>
      <c r="KBH77" s="139"/>
      <c r="KBI77" s="139"/>
      <c r="KBJ77" s="139"/>
      <c r="KBK77" s="139"/>
      <c r="KBL77" s="139"/>
      <c r="KBM77" s="139"/>
      <c r="KBN77" s="139"/>
      <c r="KBO77" s="139"/>
      <c r="KBP77" s="139"/>
      <c r="KBQ77" s="139"/>
      <c r="KBR77" s="139"/>
      <c r="KBS77" s="139"/>
      <c r="KBT77" s="139"/>
      <c r="KBU77" s="139"/>
      <c r="KBV77" s="139"/>
      <c r="KBW77" s="139"/>
      <c r="KBX77" s="139"/>
      <c r="KBY77" s="139"/>
      <c r="KBZ77" s="139"/>
      <c r="KCA77" s="139"/>
      <c r="KCB77" s="139"/>
      <c r="KCC77" s="139"/>
      <c r="KCD77" s="139"/>
      <c r="KCE77" s="139"/>
      <c r="KCF77" s="139"/>
      <c r="KCG77" s="139"/>
      <c r="KCH77" s="139"/>
      <c r="KCI77" s="139"/>
      <c r="KCJ77" s="139"/>
      <c r="KCK77" s="139"/>
      <c r="KCL77" s="139"/>
      <c r="KCM77" s="139"/>
      <c r="KCN77" s="139"/>
      <c r="KCO77" s="139"/>
      <c r="KCP77" s="139"/>
      <c r="KCQ77" s="139"/>
      <c r="KCR77" s="139"/>
      <c r="KCS77" s="139"/>
      <c r="KCT77" s="139"/>
      <c r="KCU77" s="139"/>
      <c r="KCV77" s="139"/>
      <c r="KCW77" s="139"/>
      <c r="KCX77" s="139"/>
      <c r="KCY77" s="139"/>
      <c r="KCZ77" s="139"/>
      <c r="KDA77" s="139"/>
      <c r="KDB77" s="139"/>
      <c r="KDC77" s="139"/>
      <c r="KDD77" s="139"/>
      <c r="KDE77" s="139"/>
      <c r="KDF77" s="139"/>
      <c r="KDG77" s="139"/>
      <c r="KDH77" s="139"/>
      <c r="KDI77" s="139"/>
      <c r="KDJ77" s="139"/>
      <c r="KDK77" s="139"/>
      <c r="KDL77" s="139"/>
      <c r="KDM77" s="139"/>
      <c r="KDN77" s="139"/>
      <c r="KDO77" s="139"/>
      <c r="KDP77" s="139"/>
      <c r="KDQ77" s="139"/>
      <c r="KDR77" s="139"/>
      <c r="KDS77" s="139"/>
      <c r="KDT77" s="139"/>
      <c r="KDU77" s="139"/>
      <c r="KDV77" s="139"/>
      <c r="KDW77" s="139"/>
      <c r="KDX77" s="139"/>
      <c r="KDY77" s="139"/>
      <c r="KDZ77" s="139"/>
      <c r="KEA77" s="139"/>
      <c r="KEB77" s="139"/>
      <c r="KEC77" s="139"/>
      <c r="KED77" s="139"/>
      <c r="KEE77" s="139"/>
      <c r="KEF77" s="139"/>
      <c r="KEG77" s="139"/>
      <c r="KEH77" s="139"/>
      <c r="KEI77" s="139"/>
      <c r="KEJ77" s="139"/>
      <c r="KEK77" s="139"/>
      <c r="KEL77" s="139"/>
      <c r="KEM77" s="139"/>
      <c r="KEN77" s="139"/>
      <c r="KEO77" s="139"/>
      <c r="KEP77" s="139"/>
      <c r="KEQ77" s="139"/>
      <c r="KER77" s="139"/>
      <c r="KES77" s="139"/>
      <c r="KET77" s="139"/>
      <c r="KEU77" s="139"/>
      <c r="KEV77" s="139"/>
      <c r="KEW77" s="139"/>
      <c r="KEX77" s="139"/>
      <c r="KEY77" s="139"/>
      <c r="KEZ77" s="139"/>
      <c r="KFA77" s="139"/>
      <c r="KFB77" s="139"/>
      <c r="KFC77" s="139"/>
      <c r="KFD77" s="139"/>
      <c r="KFE77" s="139"/>
      <c r="KFF77" s="139"/>
      <c r="KFG77" s="139"/>
      <c r="KFH77" s="139"/>
      <c r="KFI77" s="139"/>
      <c r="KFJ77" s="139"/>
      <c r="KFK77" s="139"/>
      <c r="KFL77" s="139"/>
      <c r="KFM77" s="139"/>
      <c r="KFN77" s="139"/>
      <c r="KFO77" s="139"/>
      <c r="KFP77" s="139"/>
      <c r="KFQ77" s="139"/>
      <c r="KFR77" s="139"/>
      <c r="KFS77" s="139"/>
      <c r="KFT77" s="139"/>
      <c r="KFU77" s="139"/>
      <c r="KFV77" s="139"/>
      <c r="KFW77" s="139"/>
      <c r="KFX77" s="139"/>
      <c r="KFY77" s="139"/>
      <c r="KFZ77" s="139"/>
      <c r="KGA77" s="139"/>
      <c r="KGB77" s="139"/>
      <c r="KGC77" s="139"/>
      <c r="KGD77" s="139"/>
      <c r="KGE77" s="139"/>
      <c r="KGF77" s="139"/>
      <c r="KGG77" s="139"/>
      <c r="KGH77" s="139"/>
      <c r="KGI77" s="139"/>
      <c r="KGJ77" s="139"/>
      <c r="KGK77" s="139"/>
      <c r="KGL77" s="139"/>
      <c r="KGM77" s="139"/>
      <c r="KGN77" s="139"/>
      <c r="KGO77" s="139"/>
      <c r="KGP77" s="139"/>
      <c r="KGQ77" s="139"/>
      <c r="KGR77" s="139"/>
      <c r="KGS77" s="139"/>
      <c r="KGT77" s="139"/>
      <c r="KGU77" s="139"/>
      <c r="KGV77" s="139"/>
      <c r="KGW77" s="139"/>
      <c r="KGX77" s="139"/>
      <c r="KGY77" s="139"/>
      <c r="KGZ77" s="139"/>
      <c r="KHA77" s="139"/>
      <c r="KHB77" s="139"/>
      <c r="KHC77" s="139"/>
      <c r="KHD77" s="139"/>
      <c r="KHE77" s="139"/>
      <c r="KHF77" s="139"/>
      <c r="KHG77" s="139"/>
      <c r="KHH77" s="139"/>
      <c r="KHI77" s="139"/>
      <c r="KHJ77" s="139"/>
      <c r="KHK77" s="139"/>
      <c r="KHL77" s="139"/>
      <c r="KHM77" s="139"/>
      <c r="KHN77" s="139"/>
      <c r="KHO77" s="139"/>
      <c r="KHP77" s="139"/>
      <c r="KHQ77" s="139"/>
      <c r="KHR77" s="139"/>
      <c r="KHS77" s="139"/>
      <c r="KHT77" s="139"/>
      <c r="KHU77" s="139"/>
      <c r="KHV77" s="139"/>
      <c r="KHW77" s="139"/>
      <c r="KHX77" s="139"/>
      <c r="KHY77" s="139"/>
      <c r="KHZ77" s="139"/>
      <c r="KIA77" s="139"/>
      <c r="KIB77" s="139"/>
      <c r="KIC77" s="139"/>
      <c r="KID77" s="139"/>
      <c r="KIE77" s="139"/>
      <c r="KIF77" s="139"/>
      <c r="KIG77" s="139"/>
      <c r="KIH77" s="139"/>
      <c r="KII77" s="139"/>
      <c r="KIJ77" s="139"/>
      <c r="KIK77" s="139"/>
      <c r="KIL77" s="139"/>
      <c r="KIM77" s="139"/>
      <c r="KIN77" s="139"/>
      <c r="KIO77" s="139"/>
      <c r="KIP77" s="139"/>
      <c r="KIQ77" s="139"/>
      <c r="KIR77" s="139"/>
      <c r="KIS77" s="139"/>
      <c r="KIT77" s="139"/>
      <c r="KIU77" s="139"/>
      <c r="KIV77" s="139"/>
      <c r="KIW77" s="139"/>
      <c r="KIX77" s="139"/>
      <c r="KIY77" s="139"/>
      <c r="KIZ77" s="139"/>
      <c r="KJA77" s="139"/>
      <c r="KJB77" s="139"/>
      <c r="KJC77" s="139"/>
      <c r="KJD77" s="139"/>
      <c r="KJE77" s="139"/>
      <c r="KJF77" s="139"/>
      <c r="KJG77" s="139"/>
      <c r="KJH77" s="139"/>
      <c r="KJI77" s="139"/>
      <c r="KJJ77" s="139"/>
      <c r="KJK77" s="139"/>
      <c r="KJL77" s="139"/>
      <c r="KJM77" s="139"/>
      <c r="KJN77" s="139"/>
      <c r="KJO77" s="139"/>
      <c r="KJP77" s="139"/>
      <c r="KJQ77" s="139"/>
      <c r="KJR77" s="139"/>
      <c r="KJS77" s="139"/>
      <c r="KJT77" s="139"/>
      <c r="KJU77" s="139"/>
      <c r="KJV77" s="139"/>
      <c r="KJW77" s="139"/>
      <c r="KJX77" s="139"/>
      <c r="KJY77" s="139"/>
      <c r="KJZ77" s="139"/>
      <c r="KKA77" s="139"/>
      <c r="KKB77" s="139"/>
      <c r="KKC77" s="139"/>
      <c r="KKD77" s="139"/>
      <c r="KKE77" s="139"/>
      <c r="KKF77" s="139"/>
      <c r="KKG77" s="139"/>
      <c r="KKH77" s="139"/>
      <c r="KKI77" s="139"/>
      <c r="KKJ77" s="139"/>
      <c r="KKK77" s="139"/>
      <c r="KKL77" s="139"/>
      <c r="KKM77" s="139"/>
      <c r="KKN77" s="139"/>
      <c r="KKO77" s="139"/>
      <c r="KKP77" s="139"/>
      <c r="KKQ77" s="139"/>
      <c r="KKR77" s="139"/>
      <c r="KKS77" s="139"/>
      <c r="KKT77" s="139"/>
      <c r="KKU77" s="139"/>
      <c r="KKV77" s="139"/>
      <c r="KKW77" s="139"/>
      <c r="KKX77" s="139"/>
      <c r="KKY77" s="139"/>
      <c r="KKZ77" s="139"/>
      <c r="KLA77" s="139"/>
      <c r="KLB77" s="139"/>
      <c r="KLC77" s="139"/>
      <c r="KLD77" s="139"/>
      <c r="KLE77" s="139"/>
      <c r="KLF77" s="139"/>
      <c r="KLG77" s="139"/>
      <c r="KLH77" s="139"/>
      <c r="KLI77" s="139"/>
      <c r="KLJ77" s="139"/>
      <c r="KLK77" s="139"/>
      <c r="KLL77" s="139"/>
      <c r="KLM77" s="139"/>
      <c r="KLN77" s="139"/>
      <c r="KLO77" s="139"/>
      <c r="KLP77" s="139"/>
      <c r="KLQ77" s="139"/>
      <c r="KLR77" s="139"/>
      <c r="KLS77" s="139"/>
      <c r="KLT77" s="139"/>
      <c r="KLU77" s="139"/>
      <c r="KLV77" s="139"/>
      <c r="KLW77" s="139"/>
      <c r="KLX77" s="139"/>
      <c r="KLY77" s="139"/>
      <c r="KLZ77" s="139"/>
      <c r="KMA77" s="139"/>
      <c r="KMB77" s="139"/>
      <c r="KMC77" s="139"/>
      <c r="KMD77" s="139"/>
      <c r="KME77" s="139"/>
      <c r="KMF77" s="139"/>
      <c r="KMG77" s="139"/>
      <c r="KMH77" s="139"/>
      <c r="KMI77" s="139"/>
      <c r="KMJ77" s="139"/>
      <c r="KMK77" s="139"/>
      <c r="KML77" s="139"/>
      <c r="KMM77" s="139"/>
      <c r="KMN77" s="139"/>
      <c r="KMO77" s="139"/>
      <c r="KMP77" s="139"/>
      <c r="KMQ77" s="139"/>
      <c r="KMR77" s="139"/>
      <c r="KMS77" s="139"/>
      <c r="KMT77" s="139"/>
      <c r="KMU77" s="139"/>
      <c r="KMV77" s="139"/>
      <c r="KMW77" s="139"/>
      <c r="KMX77" s="139"/>
      <c r="KMY77" s="139"/>
      <c r="KMZ77" s="139"/>
      <c r="KNA77" s="139"/>
      <c r="KNB77" s="139"/>
      <c r="KNC77" s="139"/>
      <c r="KND77" s="139"/>
      <c r="KNE77" s="139"/>
      <c r="KNF77" s="139"/>
      <c r="KNG77" s="139"/>
      <c r="KNH77" s="139"/>
      <c r="KNI77" s="139"/>
      <c r="KNJ77" s="139"/>
      <c r="KNK77" s="139"/>
      <c r="KNL77" s="139"/>
      <c r="KNM77" s="139"/>
      <c r="KNN77" s="139"/>
      <c r="KNO77" s="139"/>
      <c r="KNP77" s="139"/>
      <c r="KNQ77" s="139"/>
      <c r="KNR77" s="139"/>
      <c r="KNS77" s="139"/>
      <c r="KNT77" s="139"/>
      <c r="KNU77" s="139"/>
      <c r="KNV77" s="139"/>
      <c r="KNW77" s="139"/>
      <c r="KNX77" s="139"/>
      <c r="KNY77" s="139"/>
      <c r="KNZ77" s="139"/>
      <c r="KOA77" s="139"/>
      <c r="KOB77" s="139"/>
      <c r="KOC77" s="139"/>
      <c r="KOD77" s="139"/>
      <c r="KOE77" s="139"/>
      <c r="KOF77" s="139"/>
      <c r="KOG77" s="139"/>
      <c r="KOH77" s="139"/>
      <c r="KOI77" s="139"/>
      <c r="KOJ77" s="139"/>
      <c r="KOK77" s="139"/>
      <c r="KOL77" s="139"/>
      <c r="KOM77" s="139"/>
      <c r="KON77" s="139"/>
      <c r="KOO77" s="139"/>
      <c r="KOP77" s="139"/>
      <c r="KOQ77" s="139"/>
      <c r="KOR77" s="139"/>
      <c r="KOS77" s="139"/>
      <c r="KOT77" s="139"/>
      <c r="KOU77" s="139"/>
      <c r="KOV77" s="139"/>
      <c r="KOW77" s="139"/>
      <c r="KOX77" s="139"/>
      <c r="KOY77" s="139"/>
      <c r="KOZ77" s="139"/>
      <c r="KPA77" s="139"/>
      <c r="KPB77" s="139"/>
      <c r="KPC77" s="139"/>
      <c r="KPD77" s="139"/>
      <c r="KPE77" s="139"/>
      <c r="KPF77" s="139"/>
      <c r="KPG77" s="139"/>
      <c r="KPH77" s="139"/>
      <c r="KPI77" s="139"/>
      <c r="KPJ77" s="139"/>
      <c r="KPK77" s="139"/>
      <c r="KPL77" s="139"/>
      <c r="KPM77" s="139"/>
      <c r="KPN77" s="139"/>
      <c r="KPO77" s="139"/>
      <c r="KPP77" s="139"/>
      <c r="KPQ77" s="139"/>
      <c r="KPR77" s="139"/>
      <c r="KPS77" s="139"/>
      <c r="KPT77" s="139"/>
      <c r="KPU77" s="139"/>
      <c r="KPV77" s="139"/>
      <c r="KPW77" s="139"/>
      <c r="KPX77" s="139"/>
      <c r="KPY77" s="139"/>
      <c r="KPZ77" s="139"/>
      <c r="KQA77" s="139"/>
      <c r="KQB77" s="139"/>
      <c r="KQC77" s="139"/>
      <c r="KQD77" s="139"/>
      <c r="KQE77" s="139"/>
      <c r="KQF77" s="139"/>
      <c r="KQG77" s="139"/>
      <c r="KQH77" s="139"/>
      <c r="KQI77" s="139"/>
      <c r="KQJ77" s="139"/>
      <c r="KQK77" s="139"/>
      <c r="KQL77" s="139"/>
      <c r="KQM77" s="139"/>
      <c r="KQN77" s="139"/>
      <c r="KQO77" s="139"/>
      <c r="KQP77" s="139"/>
      <c r="KQQ77" s="139"/>
      <c r="KQR77" s="139"/>
      <c r="KQS77" s="139"/>
      <c r="KQT77" s="139"/>
      <c r="KQU77" s="139"/>
      <c r="KQV77" s="139"/>
      <c r="KQW77" s="139"/>
      <c r="KQX77" s="139"/>
      <c r="KQY77" s="139"/>
      <c r="KQZ77" s="139"/>
      <c r="KRA77" s="139"/>
      <c r="KRB77" s="139"/>
      <c r="KRC77" s="139"/>
      <c r="KRD77" s="139"/>
      <c r="KRE77" s="139"/>
      <c r="KRF77" s="139"/>
      <c r="KRG77" s="139"/>
      <c r="KRH77" s="139"/>
      <c r="KRI77" s="139"/>
      <c r="KRJ77" s="139"/>
      <c r="KRK77" s="139"/>
      <c r="KRL77" s="139"/>
      <c r="KRM77" s="139"/>
      <c r="KRN77" s="139"/>
      <c r="KRO77" s="139"/>
      <c r="KRP77" s="139"/>
      <c r="KRQ77" s="139"/>
      <c r="KRR77" s="139"/>
      <c r="KRS77" s="139"/>
      <c r="KRT77" s="139"/>
      <c r="KRU77" s="139"/>
      <c r="KRV77" s="139"/>
      <c r="KRW77" s="139"/>
      <c r="KRX77" s="139"/>
      <c r="KRY77" s="139"/>
      <c r="KRZ77" s="139"/>
      <c r="KSA77" s="139"/>
      <c r="KSB77" s="139"/>
      <c r="KSC77" s="139"/>
      <c r="KSD77" s="139"/>
      <c r="KSE77" s="139"/>
      <c r="KSF77" s="139"/>
      <c r="KSG77" s="139"/>
      <c r="KSH77" s="139"/>
      <c r="KSI77" s="139"/>
      <c r="KSJ77" s="139"/>
      <c r="KSK77" s="139"/>
      <c r="KSL77" s="139"/>
      <c r="KSM77" s="139"/>
      <c r="KSN77" s="139"/>
      <c r="KSO77" s="139"/>
      <c r="KSP77" s="139"/>
      <c r="KSQ77" s="139"/>
      <c r="KSR77" s="139"/>
      <c r="KSS77" s="139"/>
      <c r="KST77" s="139"/>
      <c r="KSU77" s="139"/>
      <c r="KSV77" s="139"/>
      <c r="KSW77" s="139"/>
      <c r="KSX77" s="139"/>
      <c r="KSY77" s="139"/>
      <c r="KSZ77" s="139"/>
      <c r="KTA77" s="139"/>
      <c r="KTB77" s="139"/>
      <c r="KTC77" s="139"/>
      <c r="KTD77" s="139"/>
      <c r="KTE77" s="139"/>
      <c r="KTF77" s="139"/>
      <c r="KTG77" s="139"/>
      <c r="KTH77" s="139"/>
      <c r="KTI77" s="139"/>
      <c r="KTJ77" s="139"/>
      <c r="KTK77" s="139"/>
      <c r="KTL77" s="139"/>
      <c r="KTM77" s="139"/>
      <c r="KTN77" s="139"/>
      <c r="KTO77" s="139"/>
      <c r="KTP77" s="139"/>
      <c r="KTQ77" s="139"/>
      <c r="KTR77" s="139"/>
      <c r="KTS77" s="139"/>
      <c r="KTT77" s="139"/>
      <c r="KTU77" s="139"/>
      <c r="KTV77" s="139"/>
      <c r="KTW77" s="139"/>
      <c r="KTX77" s="139"/>
      <c r="KTY77" s="139"/>
      <c r="KTZ77" s="139"/>
      <c r="KUA77" s="139"/>
      <c r="KUB77" s="139"/>
      <c r="KUC77" s="139"/>
      <c r="KUD77" s="139"/>
      <c r="KUE77" s="139"/>
      <c r="KUF77" s="139"/>
      <c r="KUG77" s="139"/>
      <c r="KUH77" s="139"/>
      <c r="KUI77" s="139"/>
      <c r="KUJ77" s="139"/>
      <c r="KUK77" s="139"/>
      <c r="KUL77" s="139"/>
      <c r="KUM77" s="139"/>
      <c r="KUN77" s="139"/>
      <c r="KUO77" s="139"/>
      <c r="KUP77" s="139"/>
      <c r="KUQ77" s="139"/>
      <c r="KUR77" s="139"/>
      <c r="KUS77" s="139"/>
      <c r="KUT77" s="139"/>
      <c r="KUU77" s="139"/>
      <c r="KUV77" s="139"/>
      <c r="KUW77" s="139"/>
      <c r="KUX77" s="139"/>
      <c r="KUY77" s="139"/>
      <c r="KUZ77" s="139"/>
      <c r="KVA77" s="139"/>
      <c r="KVB77" s="139"/>
      <c r="KVC77" s="139"/>
      <c r="KVD77" s="139"/>
      <c r="KVE77" s="139"/>
      <c r="KVF77" s="139"/>
      <c r="KVG77" s="139"/>
      <c r="KVH77" s="139"/>
      <c r="KVI77" s="139"/>
      <c r="KVJ77" s="139"/>
      <c r="KVK77" s="139"/>
      <c r="KVL77" s="139"/>
      <c r="KVM77" s="139"/>
      <c r="KVN77" s="139"/>
      <c r="KVO77" s="139"/>
      <c r="KVP77" s="139"/>
      <c r="KVQ77" s="139"/>
      <c r="KVR77" s="139"/>
      <c r="KVS77" s="139"/>
      <c r="KVT77" s="139"/>
      <c r="KVU77" s="139"/>
      <c r="KVV77" s="139"/>
      <c r="KVW77" s="139"/>
      <c r="KVX77" s="139"/>
      <c r="KVY77" s="139"/>
      <c r="KVZ77" s="139"/>
      <c r="KWA77" s="139"/>
      <c r="KWB77" s="139"/>
      <c r="KWC77" s="139"/>
      <c r="KWD77" s="139"/>
      <c r="KWE77" s="139"/>
      <c r="KWF77" s="139"/>
      <c r="KWG77" s="139"/>
      <c r="KWH77" s="139"/>
      <c r="KWI77" s="139"/>
      <c r="KWJ77" s="139"/>
      <c r="KWK77" s="139"/>
      <c r="KWL77" s="139"/>
      <c r="KWM77" s="139"/>
      <c r="KWN77" s="139"/>
      <c r="KWO77" s="139"/>
      <c r="KWP77" s="139"/>
      <c r="KWQ77" s="139"/>
      <c r="KWR77" s="139"/>
      <c r="KWS77" s="139"/>
      <c r="KWT77" s="139"/>
      <c r="KWU77" s="139"/>
      <c r="KWV77" s="139"/>
      <c r="KWW77" s="139"/>
      <c r="KWX77" s="139"/>
      <c r="KWY77" s="139"/>
      <c r="KWZ77" s="139"/>
      <c r="KXA77" s="139"/>
      <c r="KXB77" s="139"/>
      <c r="KXC77" s="139"/>
      <c r="KXD77" s="139"/>
      <c r="KXE77" s="139"/>
      <c r="KXF77" s="139"/>
      <c r="KXG77" s="139"/>
      <c r="KXH77" s="139"/>
      <c r="KXI77" s="139"/>
      <c r="KXJ77" s="139"/>
      <c r="KXK77" s="139"/>
      <c r="KXL77" s="139"/>
      <c r="KXM77" s="139"/>
      <c r="KXN77" s="139"/>
      <c r="KXO77" s="139"/>
      <c r="KXP77" s="139"/>
      <c r="KXQ77" s="139"/>
      <c r="KXR77" s="139"/>
      <c r="KXS77" s="139"/>
      <c r="KXT77" s="139"/>
      <c r="KXU77" s="139"/>
      <c r="KXV77" s="139"/>
      <c r="KXW77" s="139"/>
      <c r="KXX77" s="139"/>
      <c r="KXY77" s="139"/>
      <c r="KXZ77" s="139"/>
      <c r="KYA77" s="139"/>
      <c r="KYB77" s="139"/>
      <c r="KYC77" s="139"/>
      <c r="KYD77" s="139"/>
      <c r="KYE77" s="139"/>
      <c r="KYF77" s="139"/>
      <c r="KYG77" s="139"/>
      <c r="KYH77" s="139"/>
      <c r="KYI77" s="139"/>
      <c r="KYJ77" s="139"/>
      <c r="KYK77" s="139"/>
      <c r="KYL77" s="139"/>
      <c r="KYM77" s="139"/>
      <c r="KYN77" s="139"/>
      <c r="KYO77" s="139"/>
      <c r="KYP77" s="139"/>
      <c r="KYQ77" s="139"/>
      <c r="KYR77" s="139"/>
      <c r="KYS77" s="139"/>
      <c r="KYT77" s="139"/>
      <c r="KYU77" s="139"/>
      <c r="KYV77" s="139"/>
      <c r="KYW77" s="139"/>
      <c r="KYX77" s="139"/>
      <c r="KYY77" s="139"/>
      <c r="KYZ77" s="139"/>
      <c r="KZA77" s="139"/>
      <c r="KZB77" s="139"/>
      <c r="KZC77" s="139"/>
      <c r="KZD77" s="139"/>
      <c r="KZE77" s="139"/>
      <c r="KZF77" s="139"/>
      <c r="KZG77" s="139"/>
      <c r="KZH77" s="139"/>
      <c r="KZI77" s="139"/>
      <c r="KZJ77" s="139"/>
      <c r="KZK77" s="139"/>
      <c r="KZL77" s="139"/>
      <c r="KZM77" s="139"/>
      <c r="KZN77" s="139"/>
      <c r="KZO77" s="139"/>
      <c r="KZP77" s="139"/>
      <c r="KZQ77" s="139"/>
      <c r="KZR77" s="139"/>
      <c r="KZS77" s="139"/>
      <c r="KZT77" s="139"/>
      <c r="KZU77" s="139"/>
      <c r="KZV77" s="139"/>
      <c r="KZW77" s="139"/>
      <c r="KZX77" s="139"/>
      <c r="KZY77" s="139"/>
      <c r="KZZ77" s="139"/>
      <c r="LAA77" s="139"/>
      <c r="LAB77" s="139"/>
      <c r="LAC77" s="139"/>
      <c r="LAD77" s="139"/>
      <c r="LAE77" s="139"/>
      <c r="LAF77" s="139"/>
      <c r="LAG77" s="139"/>
      <c r="LAH77" s="139"/>
      <c r="LAI77" s="139"/>
      <c r="LAJ77" s="139"/>
      <c r="LAK77" s="139"/>
      <c r="LAL77" s="139"/>
      <c r="LAM77" s="139"/>
      <c r="LAN77" s="139"/>
      <c r="LAO77" s="139"/>
      <c r="LAP77" s="139"/>
      <c r="LAQ77" s="139"/>
      <c r="LAR77" s="139"/>
      <c r="LAS77" s="139"/>
      <c r="LAT77" s="139"/>
      <c r="LAU77" s="139"/>
      <c r="LAV77" s="139"/>
      <c r="LAW77" s="139"/>
      <c r="LAX77" s="139"/>
      <c r="LAY77" s="139"/>
      <c r="LAZ77" s="139"/>
      <c r="LBA77" s="139"/>
      <c r="LBB77" s="139"/>
      <c r="LBC77" s="139"/>
      <c r="LBD77" s="139"/>
      <c r="LBE77" s="139"/>
      <c r="LBF77" s="139"/>
      <c r="LBG77" s="139"/>
      <c r="LBH77" s="139"/>
      <c r="LBI77" s="139"/>
      <c r="LBJ77" s="139"/>
      <c r="LBK77" s="139"/>
      <c r="LBL77" s="139"/>
      <c r="LBM77" s="139"/>
      <c r="LBN77" s="139"/>
      <c r="LBO77" s="139"/>
      <c r="LBP77" s="139"/>
      <c r="LBQ77" s="139"/>
      <c r="LBR77" s="139"/>
      <c r="LBS77" s="139"/>
      <c r="LBT77" s="139"/>
      <c r="LBU77" s="139"/>
      <c r="LBV77" s="139"/>
      <c r="LBW77" s="139"/>
      <c r="LBX77" s="139"/>
      <c r="LBY77" s="139"/>
      <c r="LBZ77" s="139"/>
      <c r="LCA77" s="139"/>
      <c r="LCB77" s="139"/>
      <c r="LCC77" s="139"/>
      <c r="LCD77" s="139"/>
      <c r="LCE77" s="139"/>
      <c r="LCF77" s="139"/>
      <c r="LCG77" s="139"/>
      <c r="LCH77" s="139"/>
      <c r="LCI77" s="139"/>
      <c r="LCJ77" s="139"/>
      <c r="LCK77" s="139"/>
      <c r="LCL77" s="139"/>
      <c r="LCM77" s="139"/>
      <c r="LCN77" s="139"/>
      <c r="LCO77" s="139"/>
      <c r="LCP77" s="139"/>
      <c r="LCQ77" s="139"/>
      <c r="LCR77" s="139"/>
      <c r="LCS77" s="139"/>
      <c r="LCT77" s="139"/>
      <c r="LCU77" s="139"/>
      <c r="LCV77" s="139"/>
      <c r="LCW77" s="139"/>
      <c r="LCX77" s="139"/>
      <c r="LCY77" s="139"/>
      <c r="LCZ77" s="139"/>
      <c r="LDA77" s="139"/>
      <c r="LDB77" s="139"/>
      <c r="LDC77" s="139"/>
      <c r="LDD77" s="139"/>
      <c r="LDE77" s="139"/>
      <c r="LDF77" s="139"/>
      <c r="LDG77" s="139"/>
      <c r="LDH77" s="139"/>
      <c r="LDI77" s="139"/>
      <c r="LDJ77" s="139"/>
      <c r="LDK77" s="139"/>
      <c r="LDL77" s="139"/>
      <c r="LDM77" s="139"/>
      <c r="LDN77" s="139"/>
      <c r="LDO77" s="139"/>
      <c r="LDP77" s="139"/>
      <c r="LDQ77" s="139"/>
      <c r="LDR77" s="139"/>
      <c r="LDS77" s="139"/>
      <c r="LDT77" s="139"/>
      <c r="LDU77" s="139"/>
      <c r="LDV77" s="139"/>
      <c r="LDW77" s="139"/>
      <c r="LDX77" s="139"/>
      <c r="LDY77" s="139"/>
      <c r="LDZ77" s="139"/>
      <c r="LEA77" s="139"/>
      <c r="LEB77" s="139"/>
      <c r="LEC77" s="139"/>
      <c r="LED77" s="139"/>
      <c r="LEE77" s="139"/>
      <c r="LEF77" s="139"/>
      <c r="LEG77" s="139"/>
      <c r="LEH77" s="139"/>
      <c r="LEI77" s="139"/>
      <c r="LEJ77" s="139"/>
      <c r="LEK77" s="139"/>
      <c r="LEL77" s="139"/>
      <c r="LEM77" s="139"/>
      <c r="LEN77" s="139"/>
      <c r="LEO77" s="139"/>
      <c r="LEP77" s="139"/>
      <c r="LEQ77" s="139"/>
      <c r="LER77" s="139"/>
      <c r="LES77" s="139"/>
      <c r="LET77" s="139"/>
      <c r="LEU77" s="139"/>
      <c r="LEV77" s="139"/>
      <c r="LEW77" s="139"/>
      <c r="LEX77" s="139"/>
      <c r="LEY77" s="139"/>
      <c r="LEZ77" s="139"/>
      <c r="LFA77" s="139"/>
      <c r="LFB77" s="139"/>
      <c r="LFC77" s="139"/>
      <c r="LFD77" s="139"/>
      <c r="LFE77" s="139"/>
      <c r="LFF77" s="139"/>
      <c r="LFG77" s="139"/>
      <c r="LFH77" s="139"/>
      <c r="LFI77" s="139"/>
      <c r="LFJ77" s="139"/>
      <c r="LFK77" s="139"/>
      <c r="LFL77" s="139"/>
      <c r="LFM77" s="139"/>
      <c r="LFN77" s="139"/>
      <c r="LFO77" s="139"/>
      <c r="LFP77" s="139"/>
      <c r="LFQ77" s="139"/>
      <c r="LFR77" s="139"/>
      <c r="LFS77" s="139"/>
      <c r="LFT77" s="139"/>
      <c r="LFU77" s="139"/>
      <c r="LFV77" s="139"/>
      <c r="LFW77" s="139"/>
      <c r="LFX77" s="139"/>
      <c r="LFY77" s="139"/>
      <c r="LFZ77" s="139"/>
      <c r="LGA77" s="139"/>
      <c r="LGB77" s="139"/>
      <c r="LGC77" s="139"/>
      <c r="LGD77" s="139"/>
      <c r="LGE77" s="139"/>
      <c r="LGF77" s="139"/>
      <c r="LGG77" s="139"/>
      <c r="LGH77" s="139"/>
      <c r="LGI77" s="139"/>
      <c r="LGJ77" s="139"/>
      <c r="LGK77" s="139"/>
      <c r="LGL77" s="139"/>
      <c r="LGM77" s="139"/>
      <c r="LGN77" s="139"/>
      <c r="LGO77" s="139"/>
      <c r="LGP77" s="139"/>
      <c r="LGQ77" s="139"/>
      <c r="LGR77" s="139"/>
      <c r="LGS77" s="139"/>
      <c r="LGT77" s="139"/>
      <c r="LGU77" s="139"/>
      <c r="LGV77" s="139"/>
      <c r="LGW77" s="139"/>
      <c r="LGX77" s="139"/>
      <c r="LGY77" s="139"/>
      <c r="LGZ77" s="139"/>
      <c r="LHA77" s="139"/>
      <c r="LHB77" s="139"/>
      <c r="LHC77" s="139"/>
      <c r="LHD77" s="139"/>
      <c r="LHE77" s="139"/>
      <c r="LHF77" s="139"/>
      <c r="LHG77" s="139"/>
      <c r="LHH77" s="139"/>
      <c r="LHI77" s="139"/>
      <c r="LHJ77" s="139"/>
      <c r="LHK77" s="139"/>
      <c r="LHL77" s="139"/>
      <c r="LHM77" s="139"/>
      <c r="LHN77" s="139"/>
      <c r="LHO77" s="139"/>
      <c r="LHP77" s="139"/>
      <c r="LHQ77" s="139"/>
      <c r="LHR77" s="139"/>
      <c r="LHS77" s="139"/>
      <c r="LHT77" s="139"/>
      <c r="LHU77" s="139"/>
      <c r="LHV77" s="139"/>
      <c r="LHW77" s="139"/>
      <c r="LHX77" s="139"/>
      <c r="LHY77" s="139"/>
      <c r="LHZ77" s="139"/>
      <c r="LIA77" s="139"/>
      <c r="LIB77" s="139"/>
      <c r="LIC77" s="139"/>
      <c r="LID77" s="139"/>
      <c r="LIE77" s="139"/>
      <c r="LIF77" s="139"/>
      <c r="LIG77" s="139"/>
      <c r="LIH77" s="139"/>
      <c r="LII77" s="139"/>
      <c r="LIJ77" s="139"/>
      <c r="LIK77" s="139"/>
      <c r="LIL77" s="139"/>
      <c r="LIM77" s="139"/>
      <c r="LIN77" s="139"/>
      <c r="LIO77" s="139"/>
      <c r="LIP77" s="139"/>
      <c r="LIQ77" s="139"/>
      <c r="LIR77" s="139"/>
      <c r="LIS77" s="139"/>
      <c r="LIT77" s="139"/>
      <c r="LIU77" s="139"/>
      <c r="LIV77" s="139"/>
      <c r="LIW77" s="139"/>
      <c r="LIX77" s="139"/>
      <c r="LIY77" s="139"/>
      <c r="LIZ77" s="139"/>
      <c r="LJA77" s="139"/>
      <c r="LJB77" s="139"/>
      <c r="LJC77" s="139"/>
      <c r="LJD77" s="139"/>
      <c r="LJE77" s="139"/>
      <c r="LJF77" s="139"/>
      <c r="LJG77" s="139"/>
      <c r="LJH77" s="139"/>
      <c r="LJI77" s="139"/>
      <c r="LJJ77" s="139"/>
      <c r="LJK77" s="139"/>
      <c r="LJL77" s="139"/>
      <c r="LJM77" s="139"/>
      <c r="LJN77" s="139"/>
      <c r="LJO77" s="139"/>
      <c r="LJP77" s="139"/>
      <c r="LJQ77" s="139"/>
      <c r="LJR77" s="139"/>
      <c r="LJS77" s="139"/>
      <c r="LJT77" s="139"/>
      <c r="LJU77" s="139"/>
      <c r="LJV77" s="139"/>
      <c r="LJW77" s="139"/>
      <c r="LJX77" s="139"/>
      <c r="LJY77" s="139"/>
      <c r="LJZ77" s="139"/>
      <c r="LKA77" s="139"/>
      <c r="LKB77" s="139"/>
      <c r="LKC77" s="139"/>
      <c r="LKD77" s="139"/>
      <c r="LKE77" s="139"/>
      <c r="LKF77" s="139"/>
      <c r="LKG77" s="139"/>
      <c r="LKH77" s="139"/>
      <c r="LKI77" s="139"/>
      <c r="LKJ77" s="139"/>
      <c r="LKK77" s="139"/>
      <c r="LKL77" s="139"/>
      <c r="LKM77" s="139"/>
      <c r="LKN77" s="139"/>
      <c r="LKO77" s="139"/>
      <c r="LKP77" s="139"/>
      <c r="LKQ77" s="139"/>
      <c r="LKR77" s="139"/>
      <c r="LKS77" s="139"/>
      <c r="LKT77" s="139"/>
      <c r="LKU77" s="139"/>
      <c r="LKV77" s="139"/>
      <c r="LKW77" s="139"/>
      <c r="LKX77" s="139"/>
      <c r="LKY77" s="139"/>
      <c r="LKZ77" s="139"/>
      <c r="LLA77" s="139"/>
      <c r="LLB77" s="139"/>
      <c r="LLC77" s="139"/>
      <c r="LLD77" s="139"/>
      <c r="LLE77" s="139"/>
      <c r="LLF77" s="139"/>
      <c r="LLG77" s="139"/>
      <c r="LLH77" s="139"/>
      <c r="LLI77" s="139"/>
      <c r="LLJ77" s="139"/>
      <c r="LLK77" s="139"/>
      <c r="LLL77" s="139"/>
      <c r="LLM77" s="139"/>
      <c r="LLN77" s="139"/>
      <c r="LLO77" s="139"/>
      <c r="LLP77" s="139"/>
      <c r="LLQ77" s="139"/>
      <c r="LLR77" s="139"/>
      <c r="LLS77" s="139"/>
      <c r="LLT77" s="139"/>
      <c r="LLU77" s="139"/>
      <c r="LLV77" s="139"/>
      <c r="LLW77" s="139"/>
      <c r="LLX77" s="139"/>
      <c r="LLY77" s="139"/>
      <c r="LLZ77" s="139"/>
      <c r="LMA77" s="139"/>
      <c r="LMB77" s="139"/>
      <c r="LMC77" s="139"/>
      <c r="LMD77" s="139"/>
      <c r="LME77" s="139"/>
      <c r="LMF77" s="139"/>
      <c r="LMG77" s="139"/>
      <c r="LMH77" s="139"/>
      <c r="LMI77" s="139"/>
      <c r="LMJ77" s="139"/>
      <c r="LMK77" s="139"/>
      <c r="LML77" s="139"/>
      <c r="LMM77" s="139"/>
      <c r="LMN77" s="139"/>
      <c r="LMO77" s="139"/>
      <c r="LMP77" s="139"/>
      <c r="LMQ77" s="139"/>
      <c r="LMR77" s="139"/>
      <c r="LMS77" s="139"/>
      <c r="LMT77" s="139"/>
      <c r="LMU77" s="139"/>
      <c r="LMV77" s="139"/>
      <c r="LMW77" s="139"/>
      <c r="LMX77" s="139"/>
      <c r="LMY77" s="139"/>
      <c r="LMZ77" s="139"/>
      <c r="LNA77" s="139"/>
      <c r="LNB77" s="139"/>
      <c r="LNC77" s="139"/>
      <c r="LND77" s="139"/>
      <c r="LNE77" s="139"/>
      <c r="LNF77" s="139"/>
      <c r="LNG77" s="139"/>
      <c r="LNH77" s="139"/>
      <c r="LNI77" s="139"/>
      <c r="LNJ77" s="139"/>
      <c r="LNK77" s="139"/>
      <c r="LNL77" s="139"/>
      <c r="LNM77" s="139"/>
      <c r="LNN77" s="139"/>
      <c r="LNO77" s="139"/>
      <c r="LNP77" s="139"/>
      <c r="LNQ77" s="139"/>
      <c r="LNR77" s="139"/>
      <c r="LNS77" s="139"/>
      <c r="LNT77" s="139"/>
      <c r="LNU77" s="139"/>
      <c r="LNV77" s="139"/>
      <c r="LNW77" s="139"/>
      <c r="LNX77" s="139"/>
      <c r="LNY77" s="139"/>
      <c r="LNZ77" s="139"/>
      <c r="LOA77" s="139"/>
      <c r="LOB77" s="139"/>
      <c r="LOC77" s="139"/>
      <c r="LOD77" s="139"/>
      <c r="LOE77" s="139"/>
      <c r="LOF77" s="139"/>
      <c r="LOG77" s="139"/>
      <c r="LOH77" s="139"/>
      <c r="LOI77" s="139"/>
      <c r="LOJ77" s="139"/>
      <c r="LOK77" s="139"/>
      <c r="LOL77" s="139"/>
      <c r="LOM77" s="139"/>
      <c r="LON77" s="139"/>
      <c r="LOO77" s="139"/>
      <c r="LOP77" s="139"/>
      <c r="LOQ77" s="139"/>
      <c r="LOR77" s="139"/>
      <c r="LOS77" s="139"/>
      <c r="LOT77" s="139"/>
      <c r="LOU77" s="139"/>
      <c r="LOV77" s="139"/>
      <c r="LOW77" s="139"/>
      <c r="LOX77" s="139"/>
      <c r="LOY77" s="139"/>
      <c r="LOZ77" s="139"/>
      <c r="LPA77" s="139"/>
      <c r="LPB77" s="139"/>
      <c r="LPC77" s="139"/>
      <c r="LPD77" s="139"/>
      <c r="LPE77" s="139"/>
      <c r="LPF77" s="139"/>
      <c r="LPG77" s="139"/>
      <c r="LPH77" s="139"/>
      <c r="LPI77" s="139"/>
      <c r="LPJ77" s="139"/>
      <c r="LPK77" s="139"/>
      <c r="LPL77" s="139"/>
      <c r="LPM77" s="139"/>
      <c r="LPN77" s="139"/>
      <c r="LPO77" s="139"/>
      <c r="LPP77" s="139"/>
      <c r="LPQ77" s="139"/>
      <c r="LPR77" s="139"/>
      <c r="LPS77" s="139"/>
      <c r="LPT77" s="139"/>
      <c r="LPU77" s="139"/>
      <c r="LPV77" s="139"/>
      <c r="LPW77" s="139"/>
      <c r="LPX77" s="139"/>
      <c r="LPY77" s="139"/>
      <c r="LPZ77" s="139"/>
      <c r="LQA77" s="139"/>
      <c r="LQB77" s="139"/>
      <c r="LQC77" s="139"/>
      <c r="LQD77" s="139"/>
      <c r="LQE77" s="139"/>
      <c r="LQF77" s="139"/>
      <c r="LQG77" s="139"/>
      <c r="LQH77" s="139"/>
      <c r="LQI77" s="139"/>
      <c r="LQJ77" s="139"/>
      <c r="LQK77" s="139"/>
      <c r="LQL77" s="139"/>
      <c r="LQM77" s="139"/>
      <c r="LQN77" s="139"/>
      <c r="LQO77" s="139"/>
      <c r="LQP77" s="139"/>
      <c r="LQQ77" s="139"/>
      <c r="LQR77" s="139"/>
      <c r="LQS77" s="139"/>
      <c r="LQT77" s="139"/>
      <c r="LQU77" s="139"/>
      <c r="LQV77" s="139"/>
      <c r="LQW77" s="139"/>
      <c r="LQX77" s="139"/>
      <c r="LQY77" s="139"/>
      <c r="LQZ77" s="139"/>
      <c r="LRA77" s="139"/>
      <c r="LRB77" s="139"/>
      <c r="LRC77" s="139"/>
      <c r="LRD77" s="139"/>
      <c r="LRE77" s="139"/>
      <c r="LRF77" s="139"/>
      <c r="LRG77" s="139"/>
      <c r="LRH77" s="139"/>
      <c r="LRI77" s="139"/>
      <c r="LRJ77" s="139"/>
      <c r="LRK77" s="139"/>
      <c r="LRL77" s="139"/>
      <c r="LRM77" s="139"/>
      <c r="LRN77" s="139"/>
      <c r="LRO77" s="139"/>
      <c r="LRP77" s="139"/>
      <c r="LRQ77" s="139"/>
      <c r="LRR77" s="139"/>
      <c r="LRS77" s="139"/>
      <c r="LRT77" s="139"/>
      <c r="LRU77" s="139"/>
      <c r="LRV77" s="139"/>
      <c r="LRW77" s="139"/>
      <c r="LRX77" s="139"/>
      <c r="LRY77" s="139"/>
      <c r="LRZ77" s="139"/>
      <c r="LSA77" s="139"/>
      <c r="LSB77" s="139"/>
      <c r="LSC77" s="139"/>
      <c r="LSD77" s="139"/>
      <c r="LSE77" s="139"/>
      <c r="LSF77" s="139"/>
      <c r="LSG77" s="139"/>
      <c r="LSH77" s="139"/>
      <c r="LSI77" s="139"/>
      <c r="LSJ77" s="139"/>
      <c r="LSK77" s="139"/>
      <c r="LSL77" s="139"/>
      <c r="LSM77" s="139"/>
      <c r="LSN77" s="139"/>
      <c r="LSO77" s="139"/>
      <c r="LSP77" s="139"/>
      <c r="LSQ77" s="139"/>
      <c r="LSR77" s="139"/>
      <c r="LSS77" s="139"/>
      <c r="LST77" s="139"/>
      <c r="LSU77" s="139"/>
      <c r="LSV77" s="139"/>
      <c r="LSW77" s="139"/>
      <c r="LSX77" s="139"/>
      <c r="LSY77" s="139"/>
      <c r="LSZ77" s="139"/>
      <c r="LTA77" s="139"/>
      <c r="LTB77" s="139"/>
      <c r="LTC77" s="139"/>
      <c r="LTD77" s="139"/>
      <c r="LTE77" s="139"/>
      <c r="LTF77" s="139"/>
      <c r="LTG77" s="139"/>
      <c r="LTH77" s="139"/>
      <c r="LTI77" s="139"/>
      <c r="LTJ77" s="139"/>
      <c r="LTK77" s="139"/>
      <c r="LTL77" s="139"/>
      <c r="LTM77" s="139"/>
      <c r="LTN77" s="139"/>
      <c r="LTO77" s="139"/>
      <c r="LTP77" s="139"/>
      <c r="LTQ77" s="139"/>
      <c r="LTR77" s="139"/>
      <c r="LTS77" s="139"/>
      <c r="LTT77" s="139"/>
      <c r="LTU77" s="139"/>
      <c r="LTV77" s="139"/>
      <c r="LTW77" s="139"/>
      <c r="LTX77" s="139"/>
      <c r="LTY77" s="139"/>
      <c r="LTZ77" s="139"/>
      <c r="LUA77" s="139"/>
      <c r="LUB77" s="139"/>
      <c r="LUC77" s="139"/>
      <c r="LUD77" s="139"/>
      <c r="LUE77" s="139"/>
      <c r="LUF77" s="139"/>
      <c r="LUG77" s="139"/>
      <c r="LUH77" s="139"/>
      <c r="LUI77" s="139"/>
      <c r="LUJ77" s="139"/>
      <c r="LUK77" s="139"/>
      <c r="LUL77" s="139"/>
      <c r="LUM77" s="139"/>
      <c r="LUN77" s="139"/>
      <c r="LUO77" s="139"/>
      <c r="LUP77" s="139"/>
      <c r="LUQ77" s="139"/>
      <c r="LUR77" s="139"/>
      <c r="LUS77" s="139"/>
      <c r="LUT77" s="139"/>
      <c r="LUU77" s="139"/>
      <c r="LUV77" s="139"/>
      <c r="LUW77" s="139"/>
      <c r="LUX77" s="139"/>
      <c r="LUY77" s="139"/>
      <c r="LUZ77" s="139"/>
      <c r="LVA77" s="139"/>
      <c r="LVB77" s="139"/>
      <c r="LVC77" s="139"/>
      <c r="LVD77" s="139"/>
      <c r="LVE77" s="139"/>
      <c r="LVF77" s="139"/>
      <c r="LVG77" s="139"/>
      <c r="LVH77" s="139"/>
      <c r="LVI77" s="139"/>
      <c r="LVJ77" s="139"/>
      <c r="LVK77" s="139"/>
      <c r="LVL77" s="139"/>
      <c r="LVM77" s="139"/>
      <c r="LVN77" s="139"/>
      <c r="LVO77" s="139"/>
      <c r="LVP77" s="139"/>
      <c r="LVQ77" s="139"/>
      <c r="LVR77" s="139"/>
      <c r="LVS77" s="139"/>
      <c r="LVT77" s="139"/>
      <c r="LVU77" s="139"/>
      <c r="LVV77" s="139"/>
      <c r="LVW77" s="139"/>
      <c r="LVX77" s="139"/>
      <c r="LVY77" s="139"/>
      <c r="LVZ77" s="139"/>
      <c r="LWA77" s="139"/>
      <c r="LWB77" s="139"/>
      <c r="LWC77" s="139"/>
      <c r="LWD77" s="139"/>
      <c r="LWE77" s="139"/>
      <c r="LWF77" s="139"/>
      <c r="LWG77" s="139"/>
      <c r="LWH77" s="139"/>
      <c r="LWI77" s="139"/>
      <c r="LWJ77" s="139"/>
      <c r="LWK77" s="139"/>
      <c r="LWL77" s="139"/>
      <c r="LWM77" s="139"/>
      <c r="LWN77" s="139"/>
      <c r="LWO77" s="139"/>
      <c r="LWP77" s="139"/>
      <c r="LWQ77" s="139"/>
      <c r="LWR77" s="139"/>
      <c r="LWS77" s="139"/>
      <c r="LWT77" s="139"/>
      <c r="LWU77" s="139"/>
      <c r="LWV77" s="139"/>
      <c r="LWW77" s="139"/>
      <c r="LWX77" s="139"/>
      <c r="LWY77" s="139"/>
      <c r="LWZ77" s="139"/>
      <c r="LXA77" s="139"/>
      <c r="LXB77" s="139"/>
      <c r="LXC77" s="139"/>
      <c r="LXD77" s="139"/>
      <c r="LXE77" s="139"/>
      <c r="LXF77" s="139"/>
      <c r="LXG77" s="139"/>
      <c r="LXH77" s="139"/>
      <c r="LXI77" s="139"/>
      <c r="LXJ77" s="139"/>
      <c r="LXK77" s="139"/>
      <c r="LXL77" s="139"/>
      <c r="LXM77" s="139"/>
      <c r="LXN77" s="139"/>
      <c r="LXO77" s="139"/>
      <c r="LXP77" s="139"/>
      <c r="LXQ77" s="139"/>
      <c r="LXR77" s="139"/>
      <c r="LXS77" s="139"/>
      <c r="LXT77" s="139"/>
      <c r="LXU77" s="139"/>
      <c r="LXV77" s="139"/>
      <c r="LXW77" s="139"/>
      <c r="LXX77" s="139"/>
      <c r="LXY77" s="139"/>
      <c r="LXZ77" s="139"/>
      <c r="LYA77" s="139"/>
      <c r="LYB77" s="139"/>
      <c r="LYC77" s="139"/>
      <c r="LYD77" s="139"/>
      <c r="LYE77" s="139"/>
      <c r="LYF77" s="139"/>
      <c r="LYG77" s="139"/>
      <c r="LYH77" s="139"/>
      <c r="LYI77" s="139"/>
      <c r="LYJ77" s="139"/>
      <c r="LYK77" s="139"/>
      <c r="LYL77" s="139"/>
      <c r="LYM77" s="139"/>
      <c r="LYN77" s="139"/>
      <c r="LYO77" s="139"/>
      <c r="LYP77" s="139"/>
      <c r="LYQ77" s="139"/>
      <c r="LYR77" s="139"/>
      <c r="LYS77" s="139"/>
      <c r="LYT77" s="139"/>
      <c r="LYU77" s="139"/>
      <c r="LYV77" s="139"/>
      <c r="LYW77" s="139"/>
      <c r="LYX77" s="139"/>
      <c r="LYY77" s="139"/>
      <c r="LYZ77" s="139"/>
      <c r="LZA77" s="139"/>
      <c r="LZB77" s="139"/>
      <c r="LZC77" s="139"/>
      <c r="LZD77" s="139"/>
      <c r="LZE77" s="139"/>
      <c r="LZF77" s="139"/>
      <c r="LZG77" s="139"/>
      <c r="LZH77" s="139"/>
      <c r="LZI77" s="139"/>
      <c r="LZJ77" s="139"/>
      <c r="LZK77" s="139"/>
      <c r="LZL77" s="139"/>
      <c r="LZM77" s="139"/>
      <c r="LZN77" s="139"/>
      <c r="LZO77" s="139"/>
      <c r="LZP77" s="139"/>
      <c r="LZQ77" s="139"/>
      <c r="LZR77" s="139"/>
      <c r="LZS77" s="139"/>
      <c r="LZT77" s="139"/>
      <c r="LZU77" s="139"/>
      <c r="LZV77" s="139"/>
      <c r="LZW77" s="139"/>
      <c r="LZX77" s="139"/>
      <c r="LZY77" s="139"/>
      <c r="LZZ77" s="139"/>
      <c r="MAA77" s="139"/>
      <c r="MAB77" s="139"/>
      <c r="MAC77" s="139"/>
      <c r="MAD77" s="139"/>
      <c r="MAE77" s="139"/>
      <c r="MAF77" s="139"/>
      <c r="MAG77" s="139"/>
      <c r="MAH77" s="139"/>
      <c r="MAI77" s="139"/>
      <c r="MAJ77" s="139"/>
      <c r="MAK77" s="139"/>
      <c r="MAL77" s="139"/>
      <c r="MAM77" s="139"/>
      <c r="MAN77" s="139"/>
      <c r="MAO77" s="139"/>
      <c r="MAP77" s="139"/>
      <c r="MAQ77" s="139"/>
      <c r="MAR77" s="139"/>
      <c r="MAS77" s="139"/>
      <c r="MAT77" s="139"/>
      <c r="MAU77" s="139"/>
      <c r="MAV77" s="139"/>
      <c r="MAW77" s="139"/>
      <c r="MAX77" s="139"/>
      <c r="MAY77" s="139"/>
      <c r="MAZ77" s="139"/>
      <c r="MBA77" s="139"/>
      <c r="MBB77" s="139"/>
      <c r="MBC77" s="139"/>
      <c r="MBD77" s="139"/>
      <c r="MBE77" s="139"/>
      <c r="MBF77" s="139"/>
      <c r="MBG77" s="139"/>
      <c r="MBH77" s="139"/>
      <c r="MBI77" s="139"/>
      <c r="MBJ77" s="139"/>
      <c r="MBK77" s="139"/>
      <c r="MBL77" s="139"/>
      <c r="MBM77" s="139"/>
      <c r="MBN77" s="139"/>
      <c r="MBO77" s="139"/>
      <c r="MBP77" s="139"/>
      <c r="MBQ77" s="139"/>
      <c r="MBR77" s="139"/>
      <c r="MBS77" s="139"/>
      <c r="MBT77" s="139"/>
      <c r="MBU77" s="139"/>
      <c r="MBV77" s="139"/>
      <c r="MBW77" s="139"/>
      <c r="MBX77" s="139"/>
      <c r="MBY77" s="139"/>
      <c r="MBZ77" s="139"/>
      <c r="MCA77" s="139"/>
      <c r="MCB77" s="139"/>
      <c r="MCC77" s="139"/>
      <c r="MCD77" s="139"/>
      <c r="MCE77" s="139"/>
      <c r="MCF77" s="139"/>
      <c r="MCG77" s="139"/>
      <c r="MCH77" s="139"/>
      <c r="MCI77" s="139"/>
      <c r="MCJ77" s="139"/>
      <c r="MCK77" s="139"/>
      <c r="MCL77" s="139"/>
      <c r="MCM77" s="139"/>
      <c r="MCN77" s="139"/>
      <c r="MCO77" s="139"/>
      <c r="MCP77" s="139"/>
      <c r="MCQ77" s="139"/>
      <c r="MCR77" s="139"/>
      <c r="MCS77" s="139"/>
      <c r="MCT77" s="139"/>
      <c r="MCU77" s="139"/>
      <c r="MCV77" s="139"/>
      <c r="MCW77" s="139"/>
      <c r="MCX77" s="139"/>
      <c r="MCY77" s="139"/>
      <c r="MCZ77" s="139"/>
      <c r="MDA77" s="139"/>
      <c r="MDB77" s="139"/>
      <c r="MDC77" s="139"/>
      <c r="MDD77" s="139"/>
      <c r="MDE77" s="139"/>
      <c r="MDF77" s="139"/>
      <c r="MDG77" s="139"/>
      <c r="MDH77" s="139"/>
      <c r="MDI77" s="139"/>
      <c r="MDJ77" s="139"/>
      <c r="MDK77" s="139"/>
      <c r="MDL77" s="139"/>
      <c r="MDM77" s="139"/>
      <c r="MDN77" s="139"/>
      <c r="MDO77" s="139"/>
      <c r="MDP77" s="139"/>
      <c r="MDQ77" s="139"/>
      <c r="MDR77" s="139"/>
      <c r="MDS77" s="139"/>
      <c r="MDT77" s="139"/>
      <c r="MDU77" s="139"/>
      <c r="MDV77" s="139"/>
      <c r="MDW77" s="139"/>
      <c r="MDX77" s="139"/>
      <c r="MDY77" s="139"/>
      <c r="MDZ77" s="139"/>
      <c r="MEA77" s="139"/>
      <c r="MEB77" s="139"/>
      <c r="MEC77" s="139"/>
      <c r="MED77" s="139"/>
      <c r="MEE77" s="139"/>
      <c r="MEF77" s="139"/>
      <c r="MEG77" s="139"/>
      <c r="MEH77" s="139"/>
      <c r="MEI77" s="139"/>
      <c r="MEJ77" s="139"/>
      <c r="MEK77" s="139"/>
      <c r="MEL77" s="139"/>
      <c r="MEM77" s="139"/>
      <c r="MEN77" s="139"/>
      <c r="MEO77" s="139"/>
      <c r="MEP77" s="139"/>
      <c r="MEQ77" s="139"/>
      <c r="MER77" s="139"/>
      <c r="MES77" s="139"/>
      <c r="MET77" s="139"/>
      <c r="MEU77" s="139"/>
      <c r="MEV77" s="139"/>
      <c r="MEW77" s="139"/>
      <c r="MEX77" s="139"/>
      <c r="MEY77" s="139"/>
      <c r="MEZ77" s="139"/>
      <c r="MFA77" s="139"/>
      <c r="MFB77" s="139"/>
      <c r="MFC77" s="139"/>
      <c r="MFD77" s="139"/>
      <c r="MFE77" s="139"/>
      <c r="MFF77" s="139"/>
      <c r="MFG77" s="139"/>
      <c r="MFH77" s="139"/>
      <c r="MFI77" s="139"/>
      <c r="MFJ77" s="139"/>
      <c r="MFK77" s="139"/>
      <c r="MFL77" s="139"/>
      <c r="MFM77" s="139"/>
      <c r="MFN77" s="139"/>
      <c r="MFO77" s="139"/>
      <c r="MFP77" s="139"/>
      <c r="MFQ77" s="139"/>
      <c r="MFR77" s="139"/>
      <c r="MFS77" s="139"/>
      <c r="MFT77" s="139"/>
      <c r="MFU77" s="139"/>
      <c r="MFV77" s="139"/>
      <c r="MFW77" s="139"/>
      <c r="MFX77" s="139"/>
      <c r="MFY77" s="139"/>
      <c r="MFZ77" s="139"/>
      <c r="MGA77" s="139"/>
      <c r="MGB77" s="139"/>
      <c r="MGC77" s="139"/>
      <c r="MGD77" s="139"/>
      <c r="MGE77" s="139"/>
      <c r="MGF77" s="139"/>
      <c r="MGG77" s="139"/>
      <c r="MGH77" s="139"/>
      <c r="MGI77" s="139"/>
      <c r="MGJ77" s="139"/>
      <c r="MGK77" s="139"/>
      <c r="MGL77" s="139"/>
      <c r="MGM77" s="139"/>
      <c r="MGN77" s="139"/>
      <c r="MGO77" s="139"/>
      <c r="MGP77" s="139"/>
      <c r="MGQ77" s="139"/>
      <c r="MGR77" s="139"/>
      <c r="MGS77" s="139"/>
      <c r="MGT77" s="139"/>
      <c r="MGU77" s="139"/>
      <c r="MGV77" s="139"/>
      <c r="MGW77" s="139"/>
      <c r="MGX77" s="139"/>
      <c r="MGY77" s="139"/>
      <c r="MGZ77" s="139"/>
      <c r="MHA77" s="139"/>
      <c r="MHB77" s="139"/>
      <c r="MHC77" s="139"/>
      <c r="MHD77" s="139"/>
      <c r="MHE77" s="139"/>
      <c r="MHF77" s="139"/>
      <c r="MHG77" s="139"/>
      <c r="MHH77" s="139"/>
      <c r="MHI77" s="139"/>
      <c r="MHJ77" s="139"/>
      <c r="MHK77" s="139"/>
      <c r="MHL77" s="139"/>
      <c r="MHM77" s="139"/>
      <c r="MHN77" s="139"/>
      <c r="MHO77" s="139"/>
      <c r="MHP77" s="139"/>
      <c r="MHQ77" s="139"/>
      <c r="MHR77" s="139"/>
      <c r="MHS77" s="139"/>
      <c r="MHT77" s="139"/>
      <c r="MHU77" s="139"/>
      <c r="MHV77" s="139"/>
      <c r="MHW77" s="139"/>
      <c r="MHX77" s="139"/>
      <c r="MHY77" s="139"/>
      <c r="MHZ77" s="139"/>
      <c r="MIA77" s="139"/>
      <c r="MIB77" s="139"/>
      <c r="MIC77" s="139"/>
      <c r="MID77" s="139"/>
      <c r="MIE77" s="139"/>
      <c r="MIF77" s="139"/>
      <c r="MIG77" s="139"/>
      <c r="MIH77" s="139"/>
      <c r="MII77" s="139"/>
      <c r="MIJ77" s="139"/>
      <c r="MIK77" s="139"/>
      <c r="MIL77" s="139"/>
      <c r="MIM77" s="139"/>
      <c r="MIN77" s="139"/>
      <c r="MIO77" s="139"/>
      <c r="MIP77" s="139"/>
      <c r="MIQ77" s="139"/>
      <c r="MIR77" s="139"/>
      <c r="MIS77" s="139"/>
      <c r="MIT77" s="139"/>
      <c r="MIU77" s="139"/>
      <c r="MIV77" s="139"/>
      <c r="MIW77" s="139"/>
      <c r="MIX77" s="139"/>
      <c r="MIY77" s="139"/>
      <c r="MIZ77" s="139"/>
      <c r="MJA77" s="139"/>
      <c r="MJB77" s="139"/>
      <c r="MJC77" s="139"/>
      <c r="MJD77" s="139"/>
      <c r="MJE77" s="139"/>
      <c r="MJF77" s="139"/>
      <c r="MJG77" s="139"/>
      <c r="MJH77" s="139"/>
      <c r="MJI77" s="139"/>
      <c r="MJJ77" s="139"/>
      <c r="MJK77" s="139"/>
      <c r="MJL77" s="139"/>
      <c r="MJM77" s="139"/>
      <c r="MJN77" s="139"/>
      <c r="MJO77" s="139"/>
      <c r="MJP77" s="139"/>
      <c r="MJQ77" s="139"/>
      <c r="MJR77" s="139"/>
      <c r="MJS77" s="139"/>
      <c r="MJT77" s="139"/>
      <c r="MJU77" s="139"/>
      <c r="MJV77" s="139"/>
      <c r="MJW77" s="139"/>
      <c r="MJX77" s="139"/>
      <c r="MJY77" s="139"/>
      <c r="MJZ77" s="139"/>
      <c r="MKA77" s="139"/>
      <c r="MKB77" s="139"/>
      <c r="MKC77" s="139"/>
      <c r="MKD77" s="139"/>
      <c r="MKE77" s="139"/>
      <c r="MKF77" s="139"/>
      <c r="MKG77" s="139"/>
      <c r="MKH77" s="139"/>
      <c r="MKI77" s="139"/>
      <c r="MKJ77" s="139"/>
      <c r="MKK77" s="139"/>
      <c r="MKL77" s="139"/>
      <c r="MKM77" s="139"/>
      <c r="MKN77" s="139"/>
      <c r="MKO77" s="139"/>
      <c r="MKP77" s="139"/>
      <c r="MKQ77" s="139"/>
      <c r="MKR77" s="139"/>
      <c r="MKS77" s="139"/>
      <c r="MKT77" s="139"/>
      <c r="MKU77" s="139"/>
      <c r="MKV77" s="139"/>
      <c r="MKW77" s="139"/>
      <c r="MKX77" s="139"/>
      <c r="MKY77" s="139"/>
      <c r="MKZ77" s="139"/>
      <c r="MLA77" s="139"/>
      <c r="MLB77" s="139"/>
      <c r="MLC77" s="139"/>
      <c r="MLD77" s="139"/>
      <c r="MLE77" s="139"/>
      <c r="MLF77" s="139"/>
      <c r="MLG77" s="139"/>
      <c r="MLH77" s="139"/>
      <c r="MLI77" s="139"/>
      <c r="MLJ77" s="139"/>
      <c r="MLK77" s="139"/>
      <c r="MLL77" s="139"/>
      <c r="MLM77" s="139"/>
      <c r="MLN77" s="139"/>
      <c r="MLO77" s="139"/>
      <c r="MLP77" s="139"/>
      <c r="MLQ77" s="139"/>
      <c r="MLR77" s="139"/>
      <c r="MLS77" s="139"/>
      <c r="MLT77" s="139"/>
      <c r="MLU77" s="139"/>
      <c r="MLV77" s="139"/>
      <c r="MLW77" s="139"/>
      <c r="MLX77" s="139"/>
      <c r="MLY77" s="139"/>
      <c r="MLZ77" s="139"/>
      <c r="MMA77" s="139"/>
      <c r="MMB77" s="139"/>
      <c r="MMC77" s="139"/>
      <c r="MMD77" s="139"/>
      <c r="MME77" s="139"/>
      <c r="MMF77" s="139"/>
      <c r="MMG77" s="139"/>
      <c r="MMH77" s="139"/>
      <c r="MMI77" s="139"/>
      <c r="MMJ77" s="139"/>
      <c r="MMK77" s="139"/>
      <c r="MML77" s="139"/>
      <c r="MMM77" s="139"/>
      <c r="MMN77" s="139"/>
      <c r="MMO77" s="139"/>
      <c r="MMP77" s="139"/>
      <c r="MMQ77" s="139"/>
      <c r="MMR77" s="139"/>
      <c r="MMS77" s="139"/>
      <c r="MMT77" s="139"/>
      <c r="MMU77" s="139"/>
      <c r="MMV77" s="139"/>
      <c r="MMW77" s="139"/>
      <c r="MMX77" s="139"/>
      <c r="MMY77" s="139"/>
      <c r="MMZ77" s="139"/>
      <c r="MNA77" s="139"/>
      <c r="MNB77" s="139"/>
      <c r="MNC77" s="139"/>
      <c r="MND77" s="139"/>
      <c r="MNE77" s="139"/>
      <c r="MNF77" s="139"/>
      <c r="MNG77" s="139"/>
      <c r="MNH77" s="139"/>
      <c r="MNI77" s="139"/>
      <c r="MNJ77" s="139"/>
      <c r="MNK77" s="139"/>
      <c r="MNL77" s="139"/>
      <c r="MNM77" s="139"/>
      <c r="MNN77" s="139"/>
      <c r="MNO77" s="139"/>
      <c r="MNP77" s="139"/>
      <c r="MNQ77" s="139"/>
      <c r="MNR77" s="139"/>
      <c r="MNS77" s="139"/>
      <c r="MNT77" s="139"/>
      <c r="MNU77" s="139"/>
      <c r="MNV77" s="139"/>
      <c r="MNW77" s="139"/>
      <c r="MNX77" s="139"/>
      <c r="MNY77" s="139"/>
      <c r="MNZ77" s="139"/>
      <c r="MOA77" s="139"/>
      <c r="MOB77" s="139"/>
      <c r="MOC77" s="139"/>
      <c r="MOD77" s="139"/>
      <c r="MOE77" s="139"/>
      <c r="MOF77" s="139"/>
      <c r="MOG77" s="139"/>
      <c r="MOH77" s="139"/>
      <c r="MOI77" s="139"/>
      <c r="MOJ77" s="139"/>
      <c r="MOK77" s="139"/>
      <c r="MOL77" s="139"/>
      <c r="MOM77" s="139"/>
      <c r="MON77" s="139"/>
      <c r="MOO77" s="139"/>
      <c r="MOP77" s="139"/>
      <c r="MOQ77" s="139"/>
      <c r="MOR77" s="139"/>
      <c r="MOS77" s="139"/>
      <c r="MOT77" s="139"/>
      <c r="MOU77" s="139"/>
      <c r="MOV77" s="139"/>
      <c r="MOW77" s="139"/>
      <c r="MOX77" s="139"/>
      <c r="MOY77" s="139"/>
      <c r="MOZ77" s="139"/>
      <c r="MPA77" s="139"/>
      <c r="MPB77" s="139"/>
      <c r="MPC77" s="139"/>
      <c r="MPD77" s="139"/>
      <c r="MPE77" s="139"/>
      <c r="MPF77" s="139"/>
      <c r="MPG77" s="139"/>
      <c r="MPH77" s="139"/>
      <c r="MPI77" s="139"/>
      <c r="MPJ77" s="139"/>
      <c r="MPK77" s="139"/>
      <c r="MPL77" s="139"/>
      <c r="MPM77" s="139"/>
      <c r="MPN77" s="139"/>
      <c r="MPO77" s="139"/>
      <c r="MPP77" s="139"/>
      <c r="MPQ77" s="139"/>
      <c r="MPR77" s="139"/>
      <c r="MPS77" s="139"/>
      <c r="MPT77" s="139"/>
      <c r="MPU77" s="139"/>
      <c r="MPV77" s="139"/>
      <c r="MPW77" s="139"/>
      <c r="MPX77" s="139"/>
      <c r="MPY77" s="139"/>
      <c r="MPZ77" s="139"/>
      <c r="MQA77" s="139"/>
      <c r="MQB77" s="139"/>
      <c r="MQC77" s="139"/>
      <c r="MQD77" s="139"/>
      <c r="MQE77" s="139"/>
      <c r="MQF77" s="139"/>
      <c r="MQG77" s="139"/>
      <c r="MQH77" s="139"/>
      <c r="MQI77" s="139"/>
      <c r="MQJ77" s="139"/>
      <c r="MQK77" s="139"/>
      <c r="MQL77" s="139"/>
      <c r="MQM77" s="139"/>
      <c r="MQN77" s="139"/>
      <c r="MQO77" s="139"/>
      <c r="MQP77" s="139"/>
      <c r="MQQ77" s="139"/>
      <c r="MQR77" s="139"/>
      <c r="MQS77" s="139"/>
      <c r="MQT77" s="139"/>
      <c r="MQU77" s="139"/>
      <c r="MQV77" s="139"/>
      <c r="MQW77" s="139"/>
      <c r="MQX77" s="139"/>
      <c r="MQY77" s="139"/>
      <c r="MQZ77" s="139"/>
      <c r="MRA77" s="139"/>
      <c r="MRB77" s="139"/>
      <c r="MRC77" s="139"/>
      <c r="MRD77" s="139"/>
      <c r="MRE77" s="139"/>
      <c r="MRF77" s="139"/>
      <c r="MRG77" s="139"/>
      <c r="MRH77" s="139"/>
      <c r="MRI77" s="139"/>
      <c r="MRJ77" s="139"/>
      <c r="MRK77" s="139"/>
      <c r="MRL77" s="139"/>
      <c r="MRM77" s="139"/>
      <c r="MRN77" s="139"/>
      <c r="MRO77" s="139"/>
      <c r="MRP77" s="139"/>
      <c r="MRQ77" s="139"/>
      <c r="MRR77" s="139"/>
      <c r="MRS77" s="139"/>
      <c r="MRT77" s="139"/>
      <c r="MRU77" s="139"/>
      <c r="MRV77" s="139"/>
      <c r="MRW77" s="139"/>
      <c r="MRX77" s="139"/>
      <c r="MRY77" s="139"/>
      <c r="MRZ77" s="139"/>
      <c r="MSA77" s="139"/>
      <c r="MSB77" s="139"/>
      <c r="MSC77" s="139"/>
      <c r="MSD77" s="139"/>
      <c r="MSE77" s="139"/>
      <c r="MSF77" s="139"/>
      <c r="MSG77" s="139"/>
      <c r="MSH77" s="139"/>
      <c r="MSI77" s="139"/>
      <c r="MSJ77" s="139"/>
      <c r="MSK77" s="139"/>
      <c r="MSL77" s="139"/>
      <c r="MSM77" s="139"/>
      <c r="MSN77" s="139"/>
      <c r="MSO77" s="139"/>
      <c r="MSP77" s="139"/>
      <c r="MSQ77" s="139"/>
      <c r="MSR77" s="139"/>
      <c r="MSS77" s="139"/>
      <c r="MST77" s="139"/>
      <c r="MSU77" s="139"/>
      <c r="MSV77" s="139"/>
      <c r="MSW77" s="139"/>
      <c r="MSX77" s="139"/>
      <c r="MSY77" s="139"/>
      <c r="MSZ77" s="139"/>
      <c r="MTA77" s="139"/>
      <c r="MTB77" s="139"/>
      <c r="MTC77" s="139"/>
      <c r="MTD77" s="139"/>
      <c r="MTE77" s="139"/>
      <c r="MTF77" s="139"/>
      <c r="MTG77" s="139"/>
      <c r="MTH77" s="139"/>
      <c r="MTI77" s="139"/>
      <c r="MTJ77" s="139"/>
      <c r="MTK77" s="139"/>
      <c r="MTL77" s="139"/>
      <c r="MTM77" s="139"/>
      <c r="MTN77" s="139"/>
      <c r="MTO77" s="139"/>
      <c r="MTP77" s="139"/>
      <c r="MTQ77" s="139"/>
      <c r="MTR77" s="139"/>
      <c r="MTS77" s="139"/>
      <c r="MTT77" s="139"/>
      <c r="MTU77" s="139"/>
      <c r="MTV77" s="139"/>
      <c r="MTW77" s="139"/>
      <c r="MTX77" s="139"/>
      <c r="MTY77" s="139"/>
      <c r="MTZ77" s="139"/>
      <c r="MUA77" s="139"/>
      <c r="MUB77" s="139"/>
      <c r="MUC77" s="139"/>
      <c r="MUD77" s="139"/>
      <c r="MUE77" s="139"/>
      <c r="MUF77" s="139"/>
      <c r="MUG77" s="139"/>
      <c r="MUH77" s="139"/>
      <c r="MUI77" s="139"/>
      <c r="MUJ77" s="139"/>
      <c r="MUK77" s="139"/>
      <c r="MUL77" s="139"/>
      <c r="MUM77" s="139"/>
      <c r="MUN77" s="139"/>
      <c r="MUO77" s="139"/>
      <c r="MUP77" s="139"/>
      <c r="MUQ77" s="139"/>
      <c r="MUR77" s="139"/>
      <c r="MUS77" s="139"/>
      <c r="MUT77" s="139"/>
      <c r="MUU77" s="139"/>
      <c r="MUV77" s="139"/>
      <c r="MUW77" s="139"/>
      <c r="MUX77" s="139"/>
      <c r="MUY77" s="139"/>
      <c r="MUZ77" s="139"/>
      <c r="MVA77" s="139"/>
      <c r="MVB77" s="139"/>
      <c r="MVC77" s="139"/>
      <c r="MVD77" s="139"/>
      <c r="MVE77" s="139"/>
      <c r="MVF77" s="139"/>
      <c r="MVG77" s="139"/>
      <c r="MVH77" s="139"/>
      <c r="MVI77" s="139"/>
      <c r="MVJ77" s="139"/>
      <c r="MVK77" s="139"/>
      <c r="MVL77" s="139"/>
      <c r="MVM77" s="139"/>
      <c r="MVN77" s="139"/>
      <c r="MVO77" s="139"/>
      <c r="MVP77" s="139"/>
      <c r="MVQ77" s="139"/>
      <c r="MVR77" s="139"/>
      <c r="MVS77" s="139"/>
      <c r="MVT77" s="139"/>
      <c r="MVU77" s="139"/>
      <c r="MVV77" s="139"/>
      <c r="MVW77" s="139"/>
      <c r="MVX77" s="139"/>
      <c r="MVY77" s="139"/>
      <c r="MVZ77" s="139"/>
      <c r="MWA77" s="139"/>
      <c r="MWB77" s="139"/>
      <c r="MWC77" s="139"/>
      <c r="MWD77" s="139"/>
      <c r="MWE77" s="139"/>
      <c r="MWF77" s="139"/>
      <c r="MWG77" s="139"/>
      <c r="MWH77" s="139"/>
      <c r="MWI77" s="139"/>
      <c r="MWJ77" s="139"/>
      <c r="MWK77" s="139"/>
      <c r="MWL77" s="139"/>
      <c r="MWM77" s="139"/>
      <c r="MWN77" s="139"/>
      <c r="MWO77" s="139"/>
      <c r="MWP77" s="139"/>
      <c r="MWQ77" s="139"/>
      <c r="MWR77" s="139"/>
      <c r="MWS77" s="139"/>
      <c r="MWT77" s="139"/>
      <c r="MWU77" s="139"/>
      <c r="MWV77" s="139"/>
      <c r="MWW77" s="139"/>
      <c r="MWX77" s="139"/>
      <c r="MWY77" s="139"/>
      <c r="MWZ77" s="139"/>
      <c r="MXA77" s="139"/>
      <c r="MXB77" s="139"/>
      <c r="MXC77" s="139"/>
      <c r="MXD77" s="139"/>
      <c r="MXE77" s="139"/>
      <c r="MXF77" s="139"/>
      <c r="MXG77" s="139"/>
      <c r="MXH77" s="139"/>
      <c r="MXI77" s="139"/>
      <c r="MXJ77" s="139"/>
      <c r="MXK77" s="139"/>
      <c r="MXL77" s="139"/>
      <c r="MXM77" s="139"/>
      <c r="MXN77" s="139"/>
      <c r="MXO77" s="139"/>
      <c r="MXP77" s="139"/>
      <c r="MXQ77" s="139"/>
      <c r="MXR77" s="139"/>
      <c r="MXS77" s="139"/>
      <c r="MXT77" s="139"/>
      <c r="MXU77" s="139"/>
      <c r="MXV77" s="139"/>
      <c r="MXW77" s="139"/>
      <c r="MXX77" s="139"/>
      <c r="MXY77" s="139"/>
      <c r="MXZ77" s="139"/>
      <c r="MYA77" s="139"/>
      <c r="MYB77" s="139"/>
      <c r="MYC77" s="139"/>
      <c r="MYD77" s="139"/>
      <c r="MYE77" s="139"/>
      <c r="MYF77" s="139"/>
      <c r="MYG77" s="139"/>
      <c r="MYH77" s="139"/>
      <c r="MYI77" s="139"/>
      <c r="MYJ77" s="139"/>
      <c r="MYK77" s="139"/>
      <c r="MYL77" s="139"/>
      <c r="MYM77" s="139"/>
      <c r="MYN77" s="139"/>
      <c r="MYO77" s="139"/>
      <c r="MYP77" s="139"/>
      <c r="MYQ77" s="139"/>
      <c r="MYR77" s="139"/>
      <c r="MYS77" s="139"/>
      <c r="MYT77" s="139"/>
      <c r="MYU77" s="139"/>
      <c r="MYV77" s="139"/>
      <c r="MYW77" s="139"/>
      <c r="MYX77" s="139"/>
      <c r="MYY77" s="139"/>
      <c r="MYZ77" s="139"/>
      <c r="MZA77" s="139"/>
      <c r="MZB77" s="139"/>
      <c r="MZC77" s="139"/>
      <c r="MZD77" s="139"/>
      <c r="MZE77" s="139"/>
      <c r="MZF77" s="139"/>
      <c r="MZG77" s="139"/>
      <c r="MZH77" s="139"/>
      <c r="MZI77" s="139"/>
      <c r="MZJ77" s="139"/>
      <c r="MZK77" s="139"/>
      <c r="MZL77" s="139"/>
      <c r="MZM77" s="139"/>
      <c r="MZN77" s="139"/>
      <c r="MZO77" s="139"/>
      <c r="MZP77" s="139"/>
      <c r="MZQ77" s="139"/>
      <c r="MZR77" s="139"/>
      <c r="MZS77" s="139"/>
      <c r="MZT77" s="139"/>
      <c r="MZU77" s="139"/>
      <c r="MZV77" s="139"/>
      <c r="MZW77" s="139"/>
      <c r="MZX77" s="139"/>
      <c r="MZY77" s="139"/>
      <c r="MZZ77" s="139"/>
      <c r="NAA77" s="139"/>
      <c r="NAB77" s="139"/>
      <c r="NAC77" s="139"/>
      <c r="NAD77" s="139"/>
      <c r="NAE77" s="139"/>
      <c r="NAF77" s="139"/>
      <c r="NAG77" s="139"/>
      <c r="NAH77" s="139"/>
      <c r="NAI77" s="139"/>
      <c r="NAJ77" s="139"/>
      <c r="NAK77" s="139"/>
      <c r="NAL77" s="139"/>
      <c r="NAM77" s="139"/>
      <c r="NAN77" s="139"/>
      <c r="NAO77" s="139"/>
      <c r="NAP77" s="139"/>
      <c r="NAQ77" s="139"/>
      <c r="NAR77" s="139"/>
      <c r="NAS77" s="139"/>
      <c r="NAT77" s="139"/>
      <c r="NAU77" s="139"/>
      <c r="NAV77" s="139"/>
      <c r="NAW77" s="139"/>
      <c r="NAX77" s="139"/>
      <c r="NAY77" s="139"/>
      <c r="NAZ77" s="139"/>
      <c r="NBA77" s="139"/>
      <c r="NBB77" s="139"/>
      <c r="NBC77" s="139"/>
      <c r="NBD77" s="139"/>
      <c r="NBE77" s="139"/>
      <c r="NBF77" s="139"/>
      <c r="NBG77" s="139"/>
      <c r="NBH77" s="139"/>
      <c r="NBI77" s="139"/>
      <c r="NBJ77" s="139"/>
      <c r="NBK77" s="139"/>
      <c r="NBL77" s="139"/>
      <c r="NBM77" s="139"/>
      <c r="NBN77" s="139"/>
      <c r="NBO77" s="139"/>
      <c r="NBP77" s="139"/>
      <c r="NBQ77" s="139"/>
      <c r="NBR77" s="139"/>
      <c r="NBS77" s="139"/>
      <c r="NBT77" s="139"/>
      <c r="NBU77" s="139"/>
      <c r="NBV77" s="139"/>
      <c r="NBW77" s="139"/>
      <c r="NBX77" s="139"/>
      <c r="NBY77" s="139"/>
      <c r="NBZ77" s="139"/>
      <c r="NCA77" s="139"/>
      <c r="NCB77" s="139"/>
      <c r="NCC77" s="139"/>
      <c r="NCD77" s="139"/>
      <c r="NCE77" s="139"/>
      <c r="NCF77" s="139"/>
      <c r="NCG77" s="139"/>
      <c r="NCH77" s="139"/>
      <c r="NCI77" s="139"/>
      <c r="NCJ77" s="139"/>
      <c r="NCK77" s="139"/>
      <c r="NCL77" s="139"/>
      <c r="NCM77" s="139"/>
      <c r="NCN77" s="139"/>
      <c r="NCO77" s="139"/>
      <c r="NCP77" s="139"/>
      <c r="NCQ77" s="139"/>
      <c r="NCR77" s="139"/>
      <c r="NCS77" s="139"/>
      <c r="NCT77" s="139"/>
      <c r="NCU77" s="139"/>
      <c r="NCV77" s="139"/>
      <c r="NCW77" s="139"/>
      <c r="NCX77" s="139"/>
      <c r="NCY77" s="139"/>
      <c r="NCZ77" s="139"/>
      <c r="NDA77" s="139"/>
      <c r="NDB77" s="139"/>
      <c r="NDC77" s="139"/>
      <c r="NDD77" s="139"/>
      <c r="NDE77" s="139"/>
      <c r="NDF77" s="139"/>
      <c r="NDG77" s="139"/>
      <c r="NDH77" s="139"/>
      <c r="NDI77" s="139"/>
      <c r="NDJ77" s="139"/>
      <c r="NDK77" s="139"/>
      <c r="NDL77" s="139"/>
      <c r="NDM77" s="139"/>
      <c r="NDN77" s="139"/>
      <c r="NDO77" s="139"/>
      <c r="NDP77" s="139"/>
      <c r="NDQ77" s="139"/>
      <c r="NDR77" s="139"/>
      <c r="NDS77" s="139"/>
      <c r="NDT77" s="139"/>
      <c r="NDU77" s="139"/>
      <c r="NDV77" s="139"/>
      <c r="NDW77" s="139"/>
      <c r="NDX77" s="139"/>
      <c r="NDY77" s="139"/>
      <c r="NDZ77" s="139"/>
      <c r="NEA77" s="139"/>
      <c r="NEB77" s="139"/>
      <c r="NEC77" s="139"/>
      <c r="NED77" s="139"/>
      <c r="NEE77" s="139"/>
      <c r="NEF77" s="139"/>
      <c r="NEG77" s="139"/>
      <c r="NEH77" s="139"/>
      <c r="NEI77" s="139"/>
      <c r="NEJ77" s="139"/>
      <c r="NEK77" s="139"/>
      <c r="NEL77" s="139"/>
      <c r="NEM77" s="139"/>
      <c r="NEN77" s="139"/>
      <c r="NEO77" s="139"/>
      <c r="NEP77" s="139"/>
      <c r="NEQ77" s="139"/>
      <c r="NER77" s="139"/>
      <c r="NES77" s="139"/>
      <c r="NET77" s="139"/>
      <c r="NEU77" s="139"/>
      <c r="NEV77" s="139"/>
      <c r="NEW77" s="139"/>
      <c r="NEX77" s="139"/>
      <c r="NEY77" s="139"/>
      <c r="NEZ77" s="139"/>
      <c r="NFA77" s="139"/>
      <c r="NFB77" s="139"/>
      <c r="NFC77" s="139"/>
      <c r="NFD77" s="139"/>
      <c r="NFE77" s="139"/>
      <c r="NFF77" s="139"/>
      <c r="NFG77" s="139"/>
      <c r="NFH77" s="139"/>
      <c r="NFI77" s="139"/>
      <c r="NFJ77" s="139"/>
      <c r="NFK77" s="139"/>
      <c r="NFL77" s="139"/>
      <c r="NFM77" s="139"/>
      <c r="NFN77" s="139"/>
      <c r="NFO77" s="139"/>
      <c r="NFP77" s="139"/>
      <c r="NFQ77" s="139"/>
      <c r="NFR77" s="139"/>
      <c r="NFS77" s="139"/>
      <c r="NFT77" s="139"/>
      <c r="NFU77" s="139"/>
      <c r="NFV77" s="139"/>
      <c r="NFW77" s="139"/>
      <c r="NFX77" s="139"/>
      <c r="NFY77" s="139"/>
      <c r="NFZ77" s="139"/>
      <c r="NGA77" s="139"/>
      <c r="NGB77" s="139"/>
      <c r="NGC77" s="139"/>
      <c r="NGD77" s="139"/>
      <c r="NGE77" s="139"/>
      <c r="NGF77" s="139"/>
      <c r="NGG77" s="139"/>
      <c r="NGH77" s="139"/>
      <c r="NGI77" s="139"/>
      <c r="NGJ77" s="139"/>
      <c r="NGK77" s="139"/>
      <c r="NGL77" s="139"/>
      <c r="NGM77" s="139"/>
      <c r="NGN77" s="139"/>
      <c r="NGO77" s="139"/>
      <c r="NGP77" s="139"/>
      <c r="NGQ77" s="139"/>
      <c r="NGR77" s="139"/>
      <c r="NGS77" s="139"/>
      <c r="NGT77" s="139"/>
      <c r="NGU77" s="139"/>
      <c r="NGV77" s="139"/>
      <c r="NGW77" s="139"/>
      <c r="NGX77" s="139"/>
      <c r="NGY77" s="139"/>
      <c r="NGZ77" s="139"/>
      <c r="NHA77" s="139"/>
      <c r="NHB77" s="139"/>
      <c r="NHC77" s="139"/>
      <c r="NHD77" s="139"/>
      <c r="NHE77" s="139"/>
      <c r="NHF77" s="139"/>
      <c r="NHG77" s="139"/>
      <c r="NHH77" s="139"/>
      <c r="NHI77" s="139"/>
      <c r="NHJ77" s="139"/>
      <c r="NHK77" s="139"/>
      <c r="NHL77" s="139"/>
      <c r="NHM77" s="139"/>
      <c r="NHN77" s="139"/>
      <c r="NHO77" s="139"/>
      <c r="NHP77" s="139"/>
      <c r="NHQ77" s="139"/>
      <c r="NHR77" s="139"/>
      <c r="NHS77" s="139"/>
      <c r="NHT77" s="139"/>
      <c r="NHU77" s="139"/>
      <c r="NHV77" s="139"/>
      <c r="NHW77" s="139"/>
      <c r="NHX77" s="139"/>
      <c r="NHY77" s="139"/>
      <c r="NHZ77" s="139"/>
      <c r="NIA77" s="139"/>
      <c r="NIB77" s="139"/>
      <c r="NIC77" s="139"/>
      <c r="NID77" s="139"/>
      <c r="NIE77" s="139"/>
      <c r="NIF77" s="139"/>
      <c r="NIG77" s="139"/>
      <c r="NIH77" s="139"/>
      <c r="NII77" s="139"/>
      <c r="NIJ77" s="139"/>
      <c r="NIK77" s="139"/>
      <c r="NIL77" s="139"/>
      <c r="NIM77" s="139"/>
      <c r="NIN77" s="139"/>
      <c r="NIO77" s="139"/>
      <c r="NIP77" s="139"/>
      <c r="NIQ77" s="139"/>
      <c r="NIR77" s="139"/>
      <c r="NIS77" s="139"/>
      <c r="NIT77" s="139"/>
      <c r="NIU77" s="139"/>
      <c r="NIV77" s="139"/>
      <c r="NIW77" s="139"/>
      <c r="NIX77" s="139"/>
      <c r="NIY77" s="139"/>
      <c r="NIZ77" s="139"/>
      <c r="NJA77" s="139"/>
      <c r="NJB77" s="139"/>
      <c r="NJC77" s="139"/>
      <c r="NJD77" s="139"/>
      <c r="NJE77" s="139"/>
      <c r="NJF77" s="139"/>
      <c r="NJG77" s="139"/>
      <c r="NJH77" s="139"/>
      <c r="NJI77" s="139"/>
      <c r="NJJ77" s="139"/>
      <c r="NJK77" s="139"/>
      <c r="NJL77" s="139"/>
      <c r="NJM77" s="139"/>
      <c r="NJN77" s="139"/>
      <c r="NJO77" s="139"/>
      <c r="NJP77" s="139"/>
      <c r="NJQ77" s="139"/>
      <c r="NJR77" s="139"/>
      <c r="NJS77" s="139"/>
      <c r="NJT77" s="139"/>
      <c r="NJU77" s="139"/>
      <c r="NJV77" s="139"/>
      <c r="NJW77" s="139"/>
      <c r="NJX77" s="139"/>
      <c r="NJY77" s="139"/>
      <c r="NJZ77" s="139"/>
      <c r="NKA77" s="139"/>
      <c r="NKB77" s="139"/>
      <c r="NKC77" s="139"/>
      <c r="NKD77" s="139"/>
      <c r="NKE77" s="139"/>
      <c r="NKF77" s="139"/>
      <c r="NKG77" s="139"/>
      <c r="NKH77" s="139"/>
      <c r="NKI77" s="139"/>
      <c r="NKJ77" s="139"/>
      <c r="NKK77" s="139"/>
      <c r="NKL77" s="139"/>
      <c r="NKM77" s="139"/>
      <c r="NKN77" s="139"/>
      <c r="NKO77" s="139"/>
      <c r="NKP77" s="139"/>
      <c r="NKQ77" s="139"/>
      <c r="NKR77" s="139"/>
      <c r="NKS77" s="139"/>
      <c r="NKT77" s="139"/>
      <c r="NKU77" s="139"/>
      <c r="NKV77" s="139"/>
      <c r="NKW77" s="139"/>
      <c r="NKX77" s="139"/>
      <c r="NKY77" s="139"/>
      <c r="NKZ77" s="139"/>
      <c r="NLA77" s="139"/>
      <c r="NLB77" s="139"/>
      <c r="NLC77" s="139"/>
      <c r="NLD77" s="139"/>
      <c r="NLE77" s="139"/>
      <c r="NLF77" s="139"/>
      <c r="NLG77" s="139"/>
      <c r="NLH77" s="139"/>
      <c r="NLI77" s="139"/>
      <c r="NLJ77" s="139"/>
      <c r="NLK77" s="139"/>
      <c r="NLL77" s="139"/>
      <c r="NLM77" s="139"/>
      <c r="NLN77" s="139"/>
      <c r="NLO77" s="139"/>
      <c r="NLP77" s="139"/>
      <c r="NLQ77" s="139"/>
      <c r="NLR77" s="139"/>
      <c r="NLS77" s="139"/>
      <c r="NLT77" s="139"/>
      <c r="NLU77" s="139"/>
      <c r="NLV77" s="139"/>
      <c r="NLW77" s="139"/>
      <c r="NLX77" s="139"/>
      <c r="NLY77" s="139"/>
      <c r="NLZ77" s="139"/>
      <c r="NMA77" s="139"/>
      <c r="NMB77" s="139"/>
      <c r="NMC77" s="139"/>
      <c r="NMD77" s="139"/>
      <c r="NME77" s="139"/>
      <c r="NMF77" s="139"/>
      <c r="NMG77" s="139"/>
      <c r="NMH77" s="139"/>
      <c r="NMI77" s="139"/>
      <c r="NMJ77" s="139"/>
      <c r="NMK77" s="139"/>
      <c r="NML77" s="139"/>
      <c r="NMM77" s="139"/>
      <c r="NMN77" s="139"/>
      <c r="NMO77" s="139"/>
      <c r="NMP77" s="139"/>
      <c r="NMQ77" s="139"/>
      <c r="NMR77" s="139"/>
      <c r="NMS77" s="139"/>
      <c r="NMT77" s="139"/>
      <c r="NMU77" s="139"/>
      <c r="NMV77" s="139"/>
      <c r="NMW77" s="139"/>
      <c r="NMX77" s="139"/>
      <c r="NMY77" s="139"/>
      <c r="NMZ77" s="139"/>
      <c r="NNA77" s="139"/>
      <c r="NNB77" s="139"/>
      <c r="NNC77" s="139"/>
      <c r="NND77" s="139"/>
      <c r="NNE77" s="139"/>
      <c r="NNF77" s="139"/>
      <c r="NNG77" s="139"/>
      <c r="NNH77" s="139"/>
      <c r="NNI77" s="139"/>
      <c r="NNJ77" s="139"/>
      <c r="NNK77" s="139"/>
      <c r="NNL77" s="139"/>
      <c r="NNM77" s="139"/>
      <c r="NNN77" s="139"/>
      <c r="NNO77" s="139"/>
      <c r="NNP77" s="139"/>
      <c r="NNQ77" s="139"/>
      <c r="NNR77" s="139"/>
      <c r="NNS77" s="139"/>
      <c r="NNT77" s="139"/>
      <c r="NNU77" s="139"/>
      <c r="NNV77" s="139"/>
      <c r="NNW77" s="139"/>
      <c r="NNX77" s="139"/>
      <c r="NNY77" s="139"/>
      <c r="NNZ77" s="139"/>
      <c r="NOA77" s="139"/>
      <c r="NOB77" s="139"/>
      <c r="NOC77" s="139"/>
      <c r="NOD77" s="139"/>
      <c r="NOE77" s="139"/>
      <c r="NOF77" s="139"/>
      <c r="NOG77" s="139"/>
      <c r="NOH77" s="139"/>
      <c r="NOI77" s="139"/>
      <c r="NOJ77" s="139"/>
      <c r="NOK77" s="139"/>
      <c r="NOL77" s="139"/>
      <c r="NOM77" s="139"/>
      <c r="NON77" s="139"/>
      <c r="NOO77" s="139"/>
      <c r="NOP77" s="139"/>
      <c r="NOQ77" s="139"/>
      <c r="NOR77" s="139"/>
      <c r="NOS77" s="139"/>
      <c r="NOT77" s="139"/>
      <c r="NOU77" s="139"/>
      <c r="NOV77" s="139"/>
      <c r="NOW77" s="139"/>
      <c r="NOX77" s="139"/>
      <c r="NOY77" s="139"/>
      <c r="NOZ77" s="139"/>
      <c r="NPA77" s="139"/>
      <c r="NPB77" s="139"/>
      <c r="NPC77" s="139"/>
      <c r="NPD77" s="139"/>
      <c r="NPE77" s="139"/>
      <c r="NPF77" s="139"/>
      <c r="NPG77" s="139"/>
      <c r="NPH77" s="139"/>
      <c r="NPI77" s="139"/>
      <c r="NPJ77" s="139"/>
      <c r="NPK77" s="139"/>
      <c r="NPL77" s="139"/>
      <c r="NPM77" s="139"/>
      <c r="NPN77" s="139"/>
      <c r="NPO77" s="139"/>
      <c r="NPP77" s="139"/>
      <c r="NPQ77" s="139"/>
      <c r="NPR77" s="139"/>
      <c r="NPS77" s="139"/>
      <c r="NPT77" s="139"/>
      <c r="NPU77" s="139"/>
      <c r="NPV77" s="139"/>
      <c r="NPW77" s="139"/>
      <c r="NPX77" s="139"/>
      <c r="NPY77" s="139"/>
      <c r="NPZ77" s="139"/>
      <c r="NQA77" s="139"/>
      <c r="NQB77" s="139"/>
      <c r="NQC77" s="139"/>
      <c r="NQD77" s="139"/>
      <c r="NQE77" s="139"/>
      <c r="NQF77" s="139"/>
      <c r="NQG77" s="139"/>
      <c r="NQH77" s="139"/>
      <c r="NQI77" s="139"/>
      <c r="NQJ77" s="139"/>
      <c r="NQK77" s="139"/>
      <c r="NQL77" s="139"/>
      <c r="NQM77" s="139"/>
      <c r="NQN77" s="139"/>
      <c r="NQO77" s="139"/>
      <c r="NQP77" s="139"/>
      <c r="NQQ77" s="139"/>
      <c r="NQR77" s="139"/>
      <c r="NQS77" s="139"/>
      <c r="NQT77" s="139"/>
      <c r="NQU77" s="139"/>
      <c r="NQV77" s="139"/>
      <c r="NQW77" s="139"/>
      <c r="NQX77" s="139"/>
      <c r="NQY77" s="139"/>
      <c r="NQZ77" s="139"/>
      <c r="NRA77" s="139"/>
      <c r="NRB77" s="139"/>
      <c r="NRC77" s="139"/>
      <c r="NRD77" s="139"/>
      <c r="NRE77" s="139"/>
      <c r="NRF77" s="139"/>
      <c r="NRG77" s="139"/>
      <c r="NRH77" s="139"/>
      <c r="NRI77" s="139"/>
      <c r="NRJ77" s="139"/>
      <c r="NRK77" s="139"/>
      <c r="NRL77" s="139"/>
      <c r="NRM77" s="139"/>
      <c r="NRN77" s="139"/>
      <c r="NRO77" s="139"/>
      <c r="NRP77" s="139"/>
      <c r="NRQ77" s="139"/>
      <c r="NRR77" s="139"/>
      <c r="NRS77" s="139"/>
      <c r="NRT77" s="139"/>
      <c r="NRU77" s="139"/>
      <c r="NRV77" s="139"/>
      <c r="NRW77" s="139"/>
      <c r="NRX77" s="139"/>
      <c r="NRY77" s="139"/>
      <c r="NRZ77" s="139"/>
      <c r="NSA77" s="139"/>
      <c r="NSB77" s="139"/>
      <c r="NSC77" s="139"/>
      <c r="NSD77" s="139"/>
      <c r="NSE77" s="139"/>
      <c r="NSF77" s="139"/>
      <c r="NSG77" s="139"/>
      <c r="NSH77" s="139"/>
      <c r="NSI77" s="139"/>
      <c r="NSJ77" s="139"/>
      <c r="NSK77" s="139"/>
      <c r="NSL77" s="139"/>
      <c r="NSM77" s="139"/>
      <c r="NSN77" s="139"/>
      <c r="NSO77" s="139"/>
      <c r="NSP77" s="139"/>
      <c r="NSQ77" s="139"/>
      <c r="NSR77" s="139"/>
      <c r="NSS77" s="139"/>
      <c r="NST77" s="139"/>
      <c r="NSU77" s="139"/>
      <c r="NSV77" s="139"/>
      <c r="NSW77" s="139"/>
      <c r="NSX77" s="139"/>
      <c r="NSY77" s="139"/>
      <c r="NSZ77" s="139"/>
      <c r="NTA77" s="139"/>
      <c r="NTB77" s="139"/>
      <c r="NTC77" s="139"/>
      <c r="NTD77" s="139"/>
      <c r="NTE77" s="139"/>
      <c r="NTF77" s="139"/>
      <c r="NTG77" s="139"/>
      <c r="NTH77" s="139"/>
      <c r="NTI77" s="139"/>
      <c r="NTJ77" s="139"/>
      <c r="NTK77" s="139"/>
      <c r="NTL77" s="139"/>
      <c r="NTM77" s="139"/>
      <c r="NTN77" s="139"/>
      <c r="NTO77" s="139"/>
      <c r="NTP77" s="139"/>
      <c r="NTQ77" s="139"/>
      <c r="NTR77" s="139"/>
      <c r="NTS77" s="139"/>
      <c r="NTT77" s="139"/>
      <c r="NTU77" s="139"/>
      <c r="NTV77" s="139"/>
      <c r="NTW77" s="139"/>
      <c r="NTX77" s="139"/>
      <c r="NTY77" s="139"/>
      <c r="NTZ77" s="139"/>
      <c r="NUA77" s="139"/>
      <c r="NUB77" s="139"/>
      <c r="NUC77" s="139"/>
      <c r="NUD77" s="139"/>
      <c r="NUE77" s="139"/>
      <c r="NUF77" s="139"/>
      <c r="NUG77" s="139"/>
      <c r="NUH77" s="139"/>
      <c r="NUI77" s="139"/>
      <c r="NUJ77" s="139"/>
      <c r="NUK77" s="139"/>
      <c r="NUL77" s="139"/>
      <c r="NUM77" s="139"/>
      <c r="NUN77" s="139"/>
      <c r="NUO77" s="139"/>
      <c r="NUP77" s="139"/>
      <c r="NUQ77" s="139"/>
      <c r="NUR77" s="139"/>
      <c r="NUS77" s="139"/>
      <c r="NUT77" s="139"/>
      <c r="NUU77" s="139"/>
      <c r="NUV77" s="139"/>
      <c r="NUW77" s="139"/>
      <c r="NUX77" s="139"/>
      <c r="NUY77" s="139"/>
      <c r="NUZ77" s="139"/>
      <c r="NVA77" s="139"/>
      <c r="NVB77" s="139"/>
      <c r="NVC77" s="139"/>
      <c r="NVD77" s="139"/>
      <c r="NVE77" s="139"/>
      <c r="NVF77" s="139"/>
      <c r="NVG77" s="139"/>
      <c r="NVH77" s="139"/>
      <c r="NVI77" s="139"/>
      <c r="NVJ77" s="139"/>
      <c r="NVK77" s="139"/>
      <c r="NVL77" s="139"/>
      <c r="NVM77" s="139"/>
      <c r="NVN77" s="139"/>
      <c r="NVO77" s="139"/>
      <c r="NVP77" s="139"/>
      <c r="NVQ77" s="139"/>
      <c r="NVR77" s="139"/>
      <c r="NVS77" s="139"/>
      <c r="NVT77" s="139"/>
      <c r="NVU77" s="139"/>
      <c r="NVV77" s="139"/>
      <c r="NVW77" s="139"/>
      <c r="NVX77" s="139"/>
      <c r="NVY77" s="139"/>
      <c r="NVZ77" s="139"/>
      <c r="NWA77" s="139"/>
      <c r="NWB77" s="139"/>
      <c r="NWC77" s="139"/>
      <c r="NWD77" s="139"/>
      <c r="NWE77" s="139"/>
      <c r="NWF77" s="139"/>
      <c r="NWG77" s="139"/>
      <c r="NWH77" s="139"/>
      <c r="NWI77" s="139"/>
      <c r="NWJ77" s="139"/>
      <c r="NWK77" s="139"/>
      <c r="NWL77" s="139"/>
      <c r="NWM77" s="139"/>
      <c r="NWN77" s="139"/>
      <c r="NWO77" s="139"/>
      <c r="NWP77" s="139"/>
      <c r="NWQ77" s="139"/>
      <c r="NWR77" s="139"/>
      <c r="NWS77" s="139"/>
      <c r="NWT77" s="139"/>
      <c r="NWU77" s="139"/>
      <c r="NWV77" s="139"/>
      <c r="NWW77" s="139"/>
      <c r="NWX77" s="139"/>
      <c r="NWY77" s="139"/>
      <c r="NWZ77" s="139"/>
      <c r="NXA77" s="139"/>
      <c r="NXB77" s="139"/>
      <c r="NXC77" s="139"/>
      <c r="NXD77" s="139"/>
      <c r="NXE77" s="139"/>
      <c r="NXF77" s="139"/>
      <c r="NXG77" s="139"/>
      <c r="NXH77" s="139"/>
      <c r="NXI77" s="139"/>
      <c r="NXJ77" s="139"/>
      <c r="NXK77" s="139"/>
      <c r="NXL77" s="139"/>
      <c r="NXM77" s="139"/>
      <c r="NXN77" s="139"/>
      <c r="NXO77" s="139"/>
      <c r="NXP77" s="139"/>
      <c r="NXQ77" s="139"/>
      <c r="NXR77" s="139"/>
      <c r="NXS77" s="139"/>
      <c r="NXT77" s="139"/>
      <c r="NXU77" s="139"/>
      <c r="NXV77" s="139"/>
      <c r="NXW77" s="139"/>
      <c r="NXX77" s="139"/>
      <c r="NXY77" s="139"/>
      <c r="NXZ77" s="139"/>
      <c r="NYA77" s="139"/>
      <c r="NYB77" s="139"/>
      <c r="NYC77" s="139"/>
      <c r="NYD77" s="139"/>
      <c r="NYE77" s="139"/>
      <c r="NYF77" s="139"/>
      <c r="NYG77" s="139"/>
      <c r="NYH77" s="139"/>
      <c r="NYI77" s="139"/>
      <c r="NYJ77" s="139"/>
      <c r="NYK77" s="139"/>
      <c r="NYL77" s="139"/>
      <c r="NYM77" s="139"/>
      <c r="NYN77" s="139"/>
      <c r="NYO77" s="139"/>
      <c r="NYP77" s="139"/>
      <c r="NYQ77" s="139"/>
      <c r="NYR77" s="139"/>
      <c r="NYS77" s="139"/>
      <c r="NYT77" s="139"/>
      <c r="NYU77" s="139"/>
      <c r="NYV77" s="139"/>
      <c r="NYW77" s="139"/>
      <c r="NYX77" s="139"/>
      <c r="NYY77" s="139"/>
      <c r="NYZ77" s="139"/>
      <c r="NZA77" s="139"/>
      <c r="NZB77" s="139"/>
      <c r="NZC77" s="139"/>
      <c r="NZD77" s="139"/>
      <c r="NZE77" s="139"/>
      <c r="NZF77" s="139"/>
      <c r="NZG77" s="139"/>
      <c r="NZH77" s="139"/>
      <c r="NZI77" s="139"/>
      <c r="NZJ77" s="139"/>
      <c r="NZK77" s="139"/>
      <c r="NZL77" s="139"/>
      <c r="NZM77" s="139"/>
      <c r="NZN77" s="139"/>
      <c r="NZO77" s="139"/>
      <c r="NZP77" s="139"/>
      <c r="NZQ77" s="139"/>
      <c r="NZR77" s="139"/>
      <c r="NZS77" s="139"/>
      <c r="NZT77" s="139"/>
      <c r="NZU77" s="139"/>
      <c r="NZV77" s="139"/>
      <c r="NZW77" s="139"/>
      <c r="NZX77" s="139"/>
      <c r="NZY77" s="139"/>
      <c r="NZZ77" s="139"/>
      <c r="OAA77" s="139"/>
      <c r="OAB77" s="139"/>
      <c r="OAC77" s="139"/>
      <c r="OAD77" s="139"/>
      <c r="OAE77" s="139"/>
      <c r="OAF77" s="139"/>
      <c r="OAG77" s="139"/>
      <c r="OAH77" s="139"/>
      <c r="OAI77" s="139"/>
      <c r="OAJ77" s="139"/>
      <c r="OAK77" s="139"/>
      <c r="OAL77" s="139"/>
      <c r="OAM77" s="139"/>
      <c r="OAN77" s="139"/>
      <c r="OAO77" s="139"/>
      <c r="OAP77" s="139"/>
      <c r="OAQ77" s="139"/>
      <c r="OAR77" s="139"/>
      <c r="OAS77" s="139"/>
      <c r="OAT77" s="139"/>
      <c r="OAU77" s="139"/>
      <c r="OAV77" s="139"/>
      <c r="OAW77" s="139"/>
      <c r="OAX77" s="139"/>
      <c r="OAY77" s="139"/>
      <c r="OAZ77" s="139"/>
      <c r="OBA77" s="139"/>
      <c r="OBB77" s="139"/>
      <c r="OBC77" s="139"/>
      <c r="OBD77" s="139"/>
      <c r="OBE77" s="139"/>
      <c r="OBF77" s="139"/>
      <c r="OBG77" s="139"/>
      <c r="OBH77" s="139"/>
      <c r="OBI77" s="139"/>
      <c r="OBJ77" s="139"/>
      <c r="OBK77" s="139"/>
      <c r="OBL77" s="139"/>
      <c r="OBM77" s="139"/>
      <c r="OBN77" s="139"/>
      <c r="OBO77" s="139"/>
      <c r="OBP77" s="139"/>
      <c r="OBQ77" s="139"/>
      <c r="OBR77" s="139"/>
      <c r="OBS77" s="139"/>
      <c r="OBT77" s="139"/>
      <c r="OBU77" s="139"/>
      <c r="OBV77" s="139"/>
      <c r="OBW77" s="139"/>
      <c r="OBX77" s="139"/>
      <c r="OBY77" s="139"/>
      <c r="OBZ77" s="139"/>
      <c r="OCA77" s="139"/>
      <c r="OCB77" s="139"/>
      <c r="OCC77" s="139"/>
      <c r="OCD77" s="139"/>
      <c r="OCE77" s="139"/>
      <c r="OCF77" s="139"/>
      <c r="OCG77" s="139"/>
      <c r="OCH77" s="139"/>
      <c r="OCI77" s="139"/>
      <c r="OCJ77" s="139"/>
      <c r="OCK77" s="139"/>
      <c r="OCL77" s="139"/>
      <c r="OCM77" s="139"/>
      <c r="OCN77" s="139"/>
      <c r="OCO77" s="139"/>
      <c r="OCP77" s="139"/>
      <c r="OCQ77" s="139"/>
      <c r="OCR77" s="139"/>
      <c r="OCS77" s="139"/>
      <c r="OCT77" s="139"/>
      <c r="OCU77" s="139"/>
      <c r="OCV77" s="139"/>
      <c r="OCW77" s="139"/>
      <c r="OCX77" s="139"/>
      <c r="OCY77" s="139"/>
      <c r="OCZ77" s="139"/>
      <c r="ODA77" s="139"/>
      <c r="ODB77" s="139"/>
      <c r="ODC77" s="139"/>
      <c r="ODD77" s="139"/>
      <c r="ODE77" s="139"/>
      <c r="ODF77" s="139"/>
      <c r="ODG77" s="139"/>
      <c r="ODH77" s="139"/>
      <c r="ODI77" s="139"/>
      <c r="ODJ77" s="139"/>
      <c r="ODK77" s="139"/>
      <c r="ODL77" s="139"/>
      <c r="ODM77" s="139"/>
      <c r="ODN77" s="139"/>
      <c r="ODO77" s="139"/>
      <c r="ODP77" s="139"/>
      <c r="ODQ77" s="139"/>
      <c r="ODR77" s="139"/>
      <c r="ODS77" s="139"/>
      <c r="ODT77" s="139"/>
      <c r="ODU77" s="139"/>
      <c r="ODV77" s="139"/>
      <c r="ODW77" s="139"/>
      <c r="ODX77" s="139"/>
      <c r="ODY77" s="139"/>
      <c r="ODZ77" s="139"/>
      <c r="OEA77" s="139"/>
      <c r="OEB77" s="139"/>
      <c r="OEC77" s="139"/>
      <c r="OED77" s="139"/>
      <c r="OEE77" s="139"/>
      <c r="OEF77" s="139"/>
      <c r="OEG77" s="139"/>
      <c r="OEH77" s="139"/>
      <c r="OEI77" s="139"/>
      <c r="OEJ77" s="139"/>
      <c r="OEK77" s="139"/>
      <c r="OEL77" s="139"/>
      <c r="OEM77" s="139"/>
      <c r="OEN77" s="139"/>
      <c r="OEO77" s="139"/>
      <c r="OEP77" s="139"/>
      <c r="OEQ77" s="139"/>
      <c r="OER77" s="139"/>
      <c r="OES77" s="139"/>
      <c r="OET77" s="139"/>
      <c r="OEU77" s="139"/>
      <c r="OEV77" s="139"/>
      <c r="OEW77" s="139"/>
      <c r="OEX77" s="139"/>
      <c r="OEY77" s="139"/>
      <c r="OEZ77" s="139"/>
      <c r="OFA77" s="139"/>
      <c r="OFB77" s="139"/>
      <c r="OFC77" s="139"/>
      <c r="OFD77" s="139"/>
      <c r="OFE77" s="139"/>
      <c r="OFF77" s="139"/>
      <c r="OFG77" s="139"/>
      <c r="OFH77" s="139"/>
      <c r="OFI77" s="139"/>
      <c r="OFJ77" s="139"/>
      <c r="OFK77" s="139"/>
      <c r="OFL77" s="139"/>
      <c r="OFM77" s="139"/>
      <c r="OFN77" s="139"/>
      <c r="OFO77" s="139"/>
      <c r="OFP77" s="139"/>
      <c r="OFQ77" s="139"/>
      <c r="OFR77" s="139"/>
      <c r="OFS77" s="139"/>
      <c r="OFT77" s="139"/>
      <c r="OFU77" s="139"/>
      <c r="OFV77" s="139"/>
      <c r="OFW77" s="139"/>
      <c r="OFX77" s="139"/>
      <c r="OFY77" s="139"/>
      <c r="OFZ77" s="139"/>
      <c r="OGA77" s="139"/>
      <c r="OGB77" s="139"/>
      <c r="OGC77" s="139"/>
      <c r="OGD77" s="139"/>
      <c r="OGE77" s="139"/>
      <c r="OGF77" s="139"/>
      <c r="OGG77" s="139"/>
      <c r="OGH77" s="139"/>
      <c r="OGI77" s="139"/>
      <c r="OGJ77" s="139"/>
      <c r="OGK77" s="139"/>
      <c r="OGL77" s="139"/>
      <c r="OGM77" s="139"/>
      <c r="OGN77" s="139"/>
      <c r="OGO77" s="139"/>
      <c r="OGP77" s="139"/>
      <c r="OGQ77" s="139"/>
      <c r="OGR77" s="139"/>
      <c r="OGS77" s="139"/>
      <c r="OGT77" s="139"/>
      <c r="OGU77" s="139"/>
      <c r="OGV77" s="139"/>
      <c r="OGW77" s="139"/>
      <c r="OGX77" s="139"/>
      <c r="OGY77" s="139"/>
      <c r="OGZ77" s="139"/>
      <c r="OHA77" s="139"/>
      <c r="OHB77" s="139"/>
      <c r="OHC77" s="139"/>
      <c r="OHD77" s="139"/>
      <c r="OHE77" s="139"/>
      <c r="OHF77" s="139"/>
      <c r="OHG77" s="139"/>
      <c r="OHH77" s="139"/>
      <c r="OHI77" s="139"/>
      <c r="OHJ77" s="139"/>
      <c r="OHK77" s="139"/>
      <c r="OHL77" s="139"/>
      <c r="OHM77" s="139"/>
      <c r="OHN77" s="139"/>
      <c r="OHO77" s="139"/>
      <c r="OHP77" s="139"/>
      <c r="OHQ77" s="139"/>
      <c r="OHR77" s="139"/>
      <c r="OHS77" s="139"/>
      <c r="OHT77" s="139"/>
      <c r="OHU77" s="139"/>
      <c r="OHV77" s="139"/>
      <c r="OHW77" s="139"/>
      <c r="OHX77" s="139"/>
      <c r="OHY77" s="139"/>
      <c r="OHZ77" s="139"/>
      <c r="OIA77" s="139"/>
      <c r="OIB77" s="139"/>
      <c r="OIC77" s="139"/>
      <c r="OID77" s="139"/>
      <c r="OIE77" s="139"/>
      <c r="OIF77" s="139"/>
      <c r="OIG77" s="139"/>
      <c r="OIH77" s="139"/>
      <c r="OII77" s="139"/>
      <c r="OIJ77" s="139"/>
      <c r="OIK77" s="139"/>
      <c r="OIL77" s="139"/>
      <c r="OIM77" s="139"/>
      <c r="OIN77" s="139"/>
      <c r="OIO77" s="139"/>
      <c r="OIP77" s="139"/>
      <c r="OIQ77" s="139"/>
      <c r="OIR77" s="139"/>
      <c r="OIS77" s="139"/>
      <c r="OIT77" s="139"/>
      <c r="OIU77" s="139"/>
      <c r="OIV77" s="139"/>
      <c r="OIW77" s="139"/>
      <c r="OIX77" s="139"/>
      <c r="OIY77" s="139"/>
      <c r="OIZ77" s="139"/>
      <c r="OJA77" s="139"/>
      <c r="OJB77" s="139"/>
      <c r="OJC77" s="139"/>
      <c r="OJD77" s="139"/>
      <c r="OJE77" s="139"/>
      <c r="OJF77" s="139"/>
      <c r="OJG77" s="139"/>
      <c r="OJH77" s="139"/>
      <c r="OJI77" s="139"/>
      <c r="OJJ77" s="139"/>
      <c r="OJK77" s="139"/>
      <c r="OJL77" s="139"/>
      <c r="OJM77" s="139"/>
      <c r="OJN77" s="139"/>
      <c r="OJO77" s="139"/>
      <c r="OJP77" s="139"/>
      <c r="OJQ77" s="139"/>
      <c r="OJR77" s="139"/>
      <c r="OJS77" s="139"/>
      <c r="OJT77" s="139"/>
      <c r="OJU77" s="139"/>
      <c r="OJV77" s="139"/>
      <c r="OJW77" s="139"/>
      <c r="OJX77" s="139"/>
      <c r="OJY77" s="139"/>
      <c r="OJZ77" s="139"/>
      <c r="OKA77" s="139"/>
      <c r="OKB77" s="139"/>
      <c r="OKC77" s="139"/>
      <c r="OKD77" s="139"/>
      <c r="OKE77" s="139"/>
      <c r="OKF77" s="139"/>
      <c r="OKG77" s="139"/>
      <c r="OKH77" s="139"/>
      <c r="OKI77" s="139"/>
      <c r="OKJ77" s="139"/>
      <c r="OKK77" s="139"/>
      <c r="OKL77" s="139"/>
      <c r="OKM77" s="139"/>
      <c r="OKN77" s="139"/>
      <c r="OKO77" s="139"/>
      <c r="OKP77" s="139"/>
      <c r="OKQ77" s="139"/>
      <c r="OKR77" s="139"/>
      <c r="OKS77" s="139"/>
      <c r="OKT77" s="139"/>
      <c r="OKU77" s="139"/>
      <c r="OKV77" s="139"/>
      <c r="OKW77" s="139"/>
      <c r="OKX77" s="139"/>
      <c r="OKY77" s="139"/>
      <c r="OKZ77" s="139"/>
      <c r="OLA77" s="139"/>
      <c r="OLB77" s="139"/>
      <c r="OLC77" s="139"/>
      <c r="OLD77" s="139"/>
      <c r="OLE77" s="139"/>
      <c r="OLF77" s="139"/>
      <c r="OLG77" s="139"/>
      <c r="OLH77" s="139"/>
      <c r="OLI77" s="139"/>
      <c r="OLJ77" s="139"/>
      <c r="OLK77" s="139"/>
      <c r="OLL77" s="139"/>
      <c r="OLM77" s="139"/>
      <c r="OLN77" s="139"/>
      <c r="OLO77" s="139"/>
      <c r="OLP77" s="139"/>
      <c r="OLQ77" s="139"/>
      <c r="OLR77" s="139"/>
      <c r="OLS77" s="139"/>
      <c r="OLT77" s="139"/>
      <c r="OLU77" s="139"/>
      <c r="OLV77" s="139"/>
      <c r="OLW77" s="139"/>
      <c r="OLX77" s="139"/>
      <c r="OLY77" s="139"/>
      <c r="OLZ77" s="139"/>
      <c r="OMA77" s="139"/>
      <c r="OMB77" s="139"/>
      <c r="OMC77" s="139"/>
      <c r="OMD77" s="139"/>
      <c r="OME77" s="139"/>
      <c r="OMF77" s="139"/>
      <c r="OMG77" s="139"/>
      <c r="OMH77" s="139"/>
      <c r="OMI77" s="139"/>
      <c r="OMJ77" s="139"/>
      <c r="OMK77" s="139"/>
      <c r="OML77" s="139"/>
      <c r="OMM77" s="139"/>
      <c r="OMN77" s="139"/>
      <c r="OMO77" s="139"/>
      <c r="OMP77" s="139"/>
      <c r="OMQ77" s="139"/>
      <c r="OMR77" s="139"/>
      <c r="OMS77" s="139"/>
      <c r="OMT77" s="139"/>
      <c r="OMU77" s="139"/>
      <c r="OMV77" s="139"/>
      <c r="OMW77" s="139"/>
      <c r="OMX77" s="139"/>
      <c r="OMY77" s="139"/>
      <c r="OMZ77" s="139"/>
      <c r="ONA77" s="139"/>
      <c r="ONB77" s="139"/>
      <c r="ONC77" s="139"/>
      <c r="OND77" s="139"/>
      <c r="ONE77" s="139"/>
      <c r="ONF77" s="139"/>
      <c r="ONG77" s="139"/>
      <c r="ONH77" s="139"/>
      <c r="ONI77" s="139"/>
      <c r="ONJ77" s="139"/>
      <c r="ONK77" s="139"/>
      <c r="ONL77" s="139"/>
      <c r="ONM77" s="139"/>
      <c r="ONN77" s="139"/>
      <c r="ONO77" s="139"/>
      <c r="ONP77" s="139"/>
      <c r="ONQ77" s="139"/>
      <c r="ONR77" s="139"/>
      <c r="ONS77" s="139"/>
      <c r="ONT77" s="139"/>
      <c r="ONU77" s="139"/>
      <c r="ONV77" s="139"/>
      <c r="ONW77" s="139"/>
      <c r="ONX77" s="139"/>
      <c r="ONY77" s="139"/>
      <c r="ONZ77" s="139"/>
      <c r="OOA77" s="139"/>
      <c r="OOB77" s="139"/>
      <c r="OOC77" s="139"/>
      <c r="OOD77" s="139"/>
      <c r="OOE77" s="139"/>
      <c r="OOF77" s="139"/>
      <c r="OOG77" s="139"/>
      <c r="OOH77" s="139"/>
      <c r="OOI77" s="139"/>
      <c r="OOJ77" s="139"/>
      <c r="OOK77" s="139"/>
      <c r="OOL77" s="139"/>
      <c r="OOM77" s="139"/>
      <c r="OON77" s="139"/>
      <c r="OOO77" s="139"/>
      <c r="OOP77" s="139"/>
      <c r="OOQ77" s="139"/>
      <c r="OOR77" s="139"/>
      <c r="OOS77" s="139"/>
      <c r="OOT77" s="139"/>
      <c r="OOU77" s="139"/>
      <c r="OOV77" s="139"/>
      <c r="OOW77" s="139"/>
      <c r="OOX77" s="139"/>
      <c r="OOY77" s="139"/>
      <c r="OOZ77" s="139"/>
      <c r="OPA77" s="139"/>
      <c r="OPB77" s="139"/>
      <c r="OPC77" s="139"/>
      <c r="OPD77" s="139"/>
      <c r="OPE77" s="139"/>
      <c r="OPF77" s="139"/>
      <c r="OPG77" s="139"/>
      <c r="OPH77" s="139"/>
      <c r="OPI77" s="139"/>
      <c r="OPJ77" s="139"/>
      <c r="OPK77" s="139"/>
      <c r="OPL77" s="139"/>
      <c r="OPM77" s="139"/>
      <c r="OPN77" s="139"/>
      <c r="OPO77" s="139"/>
      <c r="OPP77" s="139"/>
      <c r="OPQ77" s="139"/>
      <c r="OPR77" s="139"/>
      <c r="OPS77" s="139"/>
      <c r="OPT77" s="139"/>
      <c r="OPU77" s="139"/>
      <c r="OPV77" s="139"/>
      <c r="OPW77" s="139"/>
      <c r="OPX77" s="139"/>
      <c r="OPY77" s="139"/>
      <c r="OPZ77" s="139"/>
      <c r="OQA77" s="139"/>
      <c r="OQB77" s="139"/>
      <c r="OQC77" s="139"/>
      <c r="OQD77" s="139"/>
      <c r="OQE77" s="139"/>
      <c r="OQF77" s="139"/>
      <c r="OQG77" s="139"/>
      <c r="OQH77" s="139"/>
      <c r="OQI77" s="139"/>
      <c r="OQJ77" s="139"/>
      <c r="OQK77" s="139"/>
      <c r="OQL77" s="139"/>
      <c r="OQM77" s="139"/>
      <c r="OQN77" s="139"/>
      <c r="OQO77" s="139"/>
      <c r="OQP77" s="139"/>
      <c r="OQQ77" s="139"/>
      <c r="OQR77" s="139"/>
      <c r="OQS77" s="139"/>
      <c r="OQT77" s="139"/>
      <c r="OQU77" s="139"/>
      <c r="OQV77" s="139"/>
      <c r="OQW77" s="139"/>
      <c r="OQX77" s="139"/>
      <c r="OQY77" s="139"/>
      <c r="OQZ77" s="139"/>
      <c r="ORA77" s="139"/>
      <c r="ORB77" s="139"/>
      <c r="ORC77" s="139"/>
      <c r="ORD77" s="139"/>
      <c r="ORE77" s="139"/>
      <c r="ORF77" s="139"/>
      <c r="ORG77" s="139"/>
      <c r="ORH77" s="139"/>
      <c r="ORI77" s="139"/>
      <c r="ORJ77" s="139"/>
      <c r="ORK77" s="139"/>
      <c r="ORL77" s="139"/>
      <c r="ORM77" s="139"/>
      <c r="ORN77" s="139"/>
      <c r="ORO77" s="139"/>
      <c r="ORP77" s="139"/>
      <c r="ORQ77" s="139"/>
      <c r="ORR77" s="139"/>
      <c r="ORS77" s="139"/>
      <c r="ORT77" s="139"/>
      <c r="ORU77" s="139"/>
      <c r="ORV77" s="139"/>
      <c r="ORW77" s="139"/>
      <c r="ORX77" s="139"/>
      <c r="ORY77" s="139"/>
      <c r="ORZ77" s="139"/>
      <c r="OSA77" s="139"/>
      <c r="OSB77" s="139"/>
      <c r="OSC77" s="139"/>
      <c r="OSD77" s="139"/>
      <c r="OSE77" s="139"/>
      <c r="OSF77" s="139"/>
      <c r="OSG77" s="139"/>
      <c r="OSH77" s="139"/>
      <c r="OSI77" s="139"/>
      <c r="OSJ77" s="139"/>
      <c r="OSK77" s="139"/>
      <c r="OSL77" s="139"/>
      <c r="OSM77" s="139"/>
      <c r="OSN77" s="139"/>
      <c r="OSO77" s="139"/>
      <c r="OSP77" s="139"/>
      <c r="OSQ77" s="139"/>
      <c r="OSR77" s="139"/>
      <c r="OSS77" s="139"/>
      <c r="OST77" s="139"/>
      <c r="OSU77" s="139"/>
      <c r="OSV77" s="139"/>
      <c r="OSW77" s="139"/>
      <c r="OSX77" s="139"/>
      <c r="OSY77" s="139"/>
      <c r="OSZ77" s="139"/>
      <c r="OTA77" s="139"/>
      <c r="OTB77" s="139"/>
      <c r="OTC77" s="139"/>
      <c r="OTD77" s="139"/>
      <c r="OTE77" s="139"/>
      <c r="OTF77" s="139"/>
      <c r="OTG77" s="139"/>
      <c r="OTH77" s="139"/>
      <c r="OTI77" s="139"/>
      <c r="OTJ77" s="139"/>
      <c r="OTK77" s="139"/>
      <c r="OTL77" s="139"/>
      <c r="OTM77" s="139"/>
      <c r="OTN77" s="139"/>
      <c r="OTO77" s="139"/>
      <c r="OTP77" s="139"/>
      <c r="OTQ77" s="139"/>
      <c r="OTR77" s="139"/>
      <c r="OTS77" s="139"/>
      <c r="OTT77" s="139"/>
      <c r="OTU77" s="139"/>
      <c r="OTV77" s="139"/>
      <c r="OTW77" s="139"/>
      <c r="OTX77" s="139"/>
      <c r="OTY77" s="139"/>
      <c r="OTZ77" s="139"/>
      <c r="OUA77" s="139"/>
      <c r="OUB77" s="139"/>
      <c r="OUC77" s="139"/>
      <c r="OUD77" s="139"/>
      <c r="OUE77" s="139"/>
      <c r="OUF77" s="139"/>
      <c r="OUG77" s="139"/>
      <c r="OUH77" s="139"/>
      <c r="OUI77" s="139"/>
      <c r="OUJ77" s="139"/>
      <c r="OUK77" s="139"/>
      <c r="OUL77" s="139"/>
      <c r="OUM77" s="139"/>
      <c r="OUN77" s="139"/>
      <c r="OUO77" s="139"/>
      <c r="OUP77" s="139"/>
      <c r="OUQ77" s="139"/>
      <c r="OUR77" s="139"/>
      <c r="OUS77" s="139"/>
      <c r="OUT77" s="139"/>
      <c r="OUU77" s="139"/>
      <c r="OUV77" s="139"/>
      <c r="OUW77" s="139"/>
      <c r="OUX77" s="139"/>
      <c r="OUY77" s="139"/>
      <c r="OUZ77" s="139"/>
      <c r="OVA77" s="139"/>
      <c r="OVB77" s="139"/>
      <c r="OVC77" s="139"/>
      <c r="OVD77" s="139"/>
      <c r="OVE77" s="139"/>
      <c r="OVF77" s="139"/>
      <c r="OVG77" s="139"/>
      <c r="OVH77" s="139"/>
      <c r="OVI77" s="139"/>
      <c r="OVJ77" s="139"/>
      <c r="OVK77" s="139"/>
      <c r="OVL77" s="139"/>
      <c r="OVM77" s="139"/>
      <c r="OVN77" s="139"/>
      <c r="OVO77" s="139"/>
      <c r="OVP77" s="139"/>
      <c r="OVQ77" s="139"/>
      <c r="OVR77" s="139"/>
      <c r="OVS77" s="139"/>
      <c r="OVT77" s="139"/>
      <c r="OVU77" s="139"/>
      <c r="OVV77" s="139"/>
      <c r="OVW77" s="139"/>
      <c r="OVX77" s="139"/>
      <c r="OVY77" s="139"/>
      <c r="OVZ77" s="139"/>
      <c r="OWA77" s="139"/>
      <c r="OWB77" s="139"/>
      <c r="OWC77" s="139"/>
      <c r="OWD77" s="139"/>
      <c r="OWE77" s="139"/>
      <c r="OWF77" s="139"/>
      <c r="OWG77" s="139"/>
      <c r="OWH77" s="139"/>
      <c r="OWI77" s="139"/>
      <c r="OWJ77" s="139"/>
      <c r="OWK77" s="139"/>
      <c r="OWL77" s="139"/>
      <c r="OWM77" s="139"/>
      <c r="OWN77" s="139"/>
      <c r="OWO77" s="139"/>
      <c r="OWP77" s="139"/>
      <c r="OWQ77" s="139"/>
      <c r="OWR77" s="139"/>
      <c r="OWS77" s="139"/>
      <c r="OWT77" s="139"/>
      <c r="OWU77" s="139"/>
      <c r="OWV77" s="139"/>
      <c r="OWW77" s="139"/>
      <c r="OWX77" s="139"/>
      <c r="OWY77" s="139"/>
      <c r="OWZ77" s="139"/>
      <c r="OXA77" s="139"/>
      <c r="OXB77" s="139"/>
      <c r="OXC77" s="139"/>
      <c r="OXD77" s="139"/>
      <c r="OXE77" s="139"/>
      <c r="OXF77" s="139"/>
      <c r="OXG77" s="139"/>
      <c r="OXH77" s="139"/>
      <c r="OXI77" s="139"/>
      <c r="OXJ77" s="139"/>
      <c r="OXK77" s="139"/>
      <c r="OXL77" s="139"/>
      <c r="OXM77" s="139"/>
      <c r="OXN77" s="139"/>
      <c r="OXO77" s="139"/>
      <c r="OXP77" s="139"/>
      <c r="OXQ77" s="139"/>
      <c r="OXR77" s="139"/>
      <c r="OXS77" s="139"/>
      <c r="OXT77" s="139"/>
      <c r="OXU77" s="139"/>
      <c r="OXV77" s="139"/>
      <c r="OXW77" s="139"/>
      <c r="OXX77" s="139"/>
      <c r="OXY77" s="139"/>
      <c r="OXZ77" s="139"/>
      <c r="OYA77" s="139"/>
      <c r="OYB77" s="139"/>
      <c r="OYC77" s="139"/>
      <c r="OYD77" s="139"/>
      <c r="OYE77" s="139"/>
      <c r="OYF77" s="139"/>
      <c r="OYG77" s="139"/>
      <c r="OYH77" s="139"/>
      <c r="OYI77" s="139"/>
      <c r="OYJ77" s="139"/>
      <c r="OYK77" s="139"/>
      <c r="OYL77" s="139"/>
      <c r="OYM77" s="139"/>
      <c r="OYN77" s="139"/>
      <c r="OYO77" s="139"/>
      <c r="OYP77" s="139"/>
      <c r="OYQ77" s="139"/>
      <c r="OYR77" s="139"/>
      <c r="OYS77" s="139"/>
      <c r="OYT77" s="139"/>
      <c r="OYU77" s="139"/>
      <c r="OYV77" s="139"/>
      <c r="OYW77" s="139"/>
      <c r="OYX77" s="139"/>
      <c r="OYY77" s="139"/>
      <c r="OYZ77" s="139"/>
      <c r="OZA77" s="139"/>
      <c r="OZB77" s="139"/>
      <c r="OZC77" s="139"/>
      <c r="OZD77" s="139"/>
      <c r="OZE77" s="139"/>
      <c r="OZF77" s="139"/>
      <c r="OZG77" s="139"/>
      <c r="OZH77" s="139"/>
      <c r="OZI77" s="139"/>
      <c r="OZJ77" s="139"/>
      <c r="OZK77" s="139"/>
      <c r="OZL77" s="139"/>
      <c r="OZM77" s="139"/>
      <c r="OZN77" s="139"/>
      <c r="OZO77" s="139"/>
      <c r="OZP77" s="139"/>
      <c r="OZQ77" s="139"/>
      <c r="OZR77" s="139"/>
      <c r="OZS77" s="139"/>
      <c r="OZT77" s="139"/>
      <c r="OZU77" s="139"/>
      <c r="OZV77" s="139"/>
      <c r="OZW77" s="139"/>
      <c r="OZX77" s="139"/>
      <c r="OZY77" s="139"/>
      <c r="OZZ77" s="139"/>
      <c r="PAA77" s="139"/>
      <c r="PAB77" s="139"/>
      <c r="PAC77" s="139"/>
      <c r="PAD77" s="139"/>
      <c r="PAE77" s="139"/>
      <c r="PAF77" s="139"/>
      <c r="PAG77" s="139"/>
      <c r="PAH77" s="139"/>
      <c r="PAI77" s="139"/>
      <c r="PAJ77" s="139"/>
      <c r="PAK77" s="139"/>
      <c r="PAL77" s="139"/>
      <c r="PAM77" s="139"/>
      <c r="PAN77" s="139"/>
      <c r="PAO77" s="139"/>
      <c r="PAP77" s="139"/>
      <c r="PAQ77" s="139"/>
      <c r="PAR77" s="139"/>
      <c r="PAS77" s="139"/>
      <c r="PAT77" s="139"/>
      <c r="PAU77" s="139"/>
      <c r="PAV77" s="139"/>
      <c r="PAW77" s="139"/>
      <c r="PAX77" s="139"/>
      <c r="PAY77" s="139"/>
      <c r="PAZ77" s="139"/>
      <c r="PBA77" s="139"/>
      <c r="PBB77" s="139"/>
      <c r="PBC77" s="139"/>
      <c r="PBD77" s="139"/>
      <c r="PBE77" s="139"/>
      <c r="PBF77" s="139"/>
      <c r="PBG77" s="139"/>
      <c r="PBH77" s="139"/>
      <c r="PBI77" s="139"/>
      <c r="PBJ77" s="139"/>
      <c r="PBK77" s="139"/>
      <c r="PBL77" s="139"/>
      <c r="PBM77" s="139"/>
      <c r="PBN77" s="139"/>
      <c r="PBO77" s="139"/>
      <c r="PBP77" s="139"/>
      <c r="PBQ77" s="139"/>
      <c r="PBR77" s="139"/>
      <c r="PBS77" s="139"/>
      <c r="PBT77" s="139"/>
      <c r="PBU77" s="139"/>
      <c r="PBV77" s="139"/>
      <c r="PBW77" s="139"/>
      <c r="PBX77" s="139"/>
      <c r="PBY77" s="139"/>
      <c r="PBZ77" s="139"/>
      <c r="PCA77" s="139"/>
      <c r="PCB77" s="139"/>
      <c r="PCC77" s="139"/>
      <c r="PCD77" s="139"/>
      <c r="PCE77" s="139"/>
      <c r="PCF77" s="139"/>
      <c r="PCG77" s="139"/>
      <c r="PCH77" s="139"/>
      <c r="PCI77" s="139"/>
      <c r="PCJ77" s="139"/>
      <c r="PCK77" s="139"/>
      <c r="PCL77" s="139"/>
      <c r="PCM77" s="139"/>
      <c r="PCN77" s="139"/>
      <c r="PCO77" s="139"/>
      <c r="PCP77" s="139"/>
      <c r="PCQ77" s="139"/>
      <c r="PCR77" s="139"/>
      <c r="PCS77" s="139"/>
      <c r="PCT77" s="139"/>
      <c r="PCU77" s="139"/>
      <c r="PCV77" s="139"/>
      <c r="PCW77" s="139"/>
      <c r="PCX77" s="139"/>
      <c r="PCY77" s="139"/>
      <c r="PCZ77" s="139"/>
      <c r="PDA77" s="139"/>
      <c r="PDB77" s="139"/>
      <c r="PDC77" s="139"/>
      <c r="PDD77" s="139"/>
      <c r="PDE77" s="139"/>
      <c r="PDF77" s="139"/>
      <c r="PDG77" s="139"/>
      <c r="PDH77" s="139"/>
      <c r="PDI77" s="139"/>
      <c r="PDJ77" s="139"/>
      <c r="PDK77" s="139"/>
      <c r="PDL77" s="139"/>
      <c r="PDM77" s="139"/>
      <c r="PDN77" s="139"/>
      <c r="PDO77" s="139"/>
      <c r="PDP77" s="139"/>
      <c r="PDQ77" s="139"/>
      <c r="PDR77" s="139"/>
      <c r="PDS77" s="139"/>
      <c r="PDT77" s="139"/>
      <c r="PDU77" s="139"/>
      <c r="PDV77" s="139"/>
      <c r="PDW77" s="139"/>
      <c r="PDX77" s="139"/>
      <c r="PDY77" s="139"/>
      <c r="PDZ77" s="139"/>
      <c r="PEA77" s="139"/>
      <c r="PEB77" s="139"/>
      <c r="PEC77" s="139"/>
      <c r="PED77" s="139"/>
      <c r="PEE77" s="139"/>
      <c r="PEF77" s="139"/>
      <c r="PEG77" s="139"/>
      <c r="PEH77" s="139"/>
      <c r="PEI77" s="139"/>
      <c r="PEJ77" s="139"/>
      <c r="PEK77" s="139"/>
      <c r="PEL77" s="139"/>
      <c r="PEM77" s="139"/>
      <c r="PEN77" s="139"/>
      <c r="PEO77" s="139"/>
      <c r="PEP77" s="139"/>
      <c r="PEQ77" s="139"/>
      <c r="PER77" s="139"/>
      <c r="PES77" s="139"/>
      <c r="PET77" s="139"/>
      <c r="PEU77" s="139"/>
      <c r="PEV77" s="139"/>
      <c r="PEW77" s="139"/>
      <c r="PEX77" s="139"/>
      <c r="PEY77" s="139"/>
      <c r="PEZ77" s="139"/>
      <c r="PFA77" s="139"/>
      <c r="PFB77" s="139"/>
      <c r="PFC77" s="139"/>
      <c r="PFD77" s="139"/>
      <c r="PFE77" s="139"/>
      <c r="PFF77" s="139"/>
      <c r="PFG77" s="139"/>
      <c r="PFH77" s="139"/>
      <c r="PFI77" s="139"/>
      <c r="PFJ77" s="139"/>
      <c r="PFK77" s="139"/>
      <c r="PFL77" s="139"/>
      <c r="PFM77" s="139"/>
      <c r="PFN77" s="139"/>
      <c r="PFO77" s="139"/>
      <c r="PFP77" s="139"/>
      <c r="PFQ77" s="139"/>
      <c r="PFR77" s="139"/>
      <c r="PFS77" s="139"/>
      <c r="PFT77" s="139"/>
      <c r="PFU77" s="139"/>
      <c r="PFV77" s="139"/>
      <c r="PFW77" s="139"/>
      <c r="PFX77" s="139"/>
      <c r="PFY77" s="139"/>
      <c r="PFZ77" s="139"/>
      <c r="PGA77" s="139"/>
      <c r="PGB77" s="139"/>
      <c r="PGC77" s="139"/>
      <c r="PGD77" s="139"/>
      <c r="PGE77" s="139"/>
      <c r="PGF77" s="139"/>
      <c r="PGG77" s="139"/>
      <c r="PGH77" s="139"/>
      <c r="PGI77" s="139"/>
      <c r="PGJ77" s="139"/>
      <c r="PGK77" s="139"/>
      <c r="PGL77" s="139"/>
      <c r="PGM77" s="139"/>
      <c r="PGN77" s="139"/>
      <c r="PGO77" s="139"/>
      <c r="PGP77" s="139"/>
      <c r="PGQ77" s="139"/>
      <c r="PGR77" s="139"/>
      <c r="PGS77" s="139"/>
      <c r="PGT77" s="139"/>
      <c r="PGU77" s="139"/>
      <c r="PGV77" s="139"/>
      <c r="PGW77" s="139"/>
      <c r="PGX77" s="139"/>
      <c r="PGY77" s="139"/>
      <c r="PGZ77" s="139"/>
      <c r="PHA77" s="139"/>
      <c r="PHB77" s="139"/>
      <c r="PHC77" s="139"/>
      <c r="PHD77" s="139"/>
      <c r="PHE77" s="139"/>
      <c r="PHF77" s="139"/>
      <c r="PHG77" s="139"/>
      <c r="PHH77" s="139"/>
      <c r="PHI77" s="139"/>
      <c r="PHJ77" s="139"/>
      <c r="PHK77" s="139"/>
      <c r="PHL77" s="139"/>
      <c r="PHM77" s="139"/>
      <c r="PHN77" s="139"/>
      <c r="PHO77" s="139"/>
      <c r="PHP77" s="139"/>
      <c r="PHQ77" s="139"/>
      <c r="PHR77" s="139"/>
      <c r="PHS77" s="139"/>
      <c r="PHT77" s="139"/>
      <c r="PHU77" s="139"/>
      <c r="PHV77" s="139"/>
      <c r="PHW77" s="139"/>
      <c r="PHX77" s="139"/>
      <c r="PHY77" s="139"/>
      <c r="PHZ77" s="139"/>
      <c r="PIA77" s="139"/>
      <c r="PIB77" s="139"/>
      <c r="PIC77" s="139"/>
      <c r="PID77" s="139"/>
      <c r="PIE77" s="139"/>
      <c r="PIF77" s="139"/>
      <c r="PIG77" s="139"/>
      <c r="PIH77" s="139"/>
      <c r="PII77" s="139"/>
      <c r="PIJ77" s="139"/>
      <c r="PIK77" s="139"/>
      <c r="PIL77" s="139"/>
      <c r="PIM77" s="139"/>
      <c r="PIN77" s="139"/>
      <c r="PIO77" s="139"/>
      <c r="PIP77" s="139"/>
      <c r="PIQ77" s="139"/>
      <c r="PIR77" s="139"/>
      <c r="PIS77" s="139"/>
      <c r="PIT77" s="139"/>
      <c r="PIU77" s="139"/>
      <c r="PIV77" s="139"/>
      <c r="PIW77" s="139"/>
      <c r="PIX77" s="139"/>
      <c r="PIY77" s="139"/>
      <c r="PIZ77" s="139"/>
      <c r="PJA77" s="139"/>
      <c r="PJB77" s="139"/>
      <c r="PJC77" s="139"/>
      <c r="PJD77" s="139"/>
      <c r="PJE77" s="139"/>
      <c r="PJF77" s="139"/>
      <c r="PJG77" s="139"/>
      <c r="PJH77" s="139"/>
      <c r="PJI77" s="139"/>
      <c r="PJJ77" s="139"/>
      <c r="PJK77" s="139"/>
      <c r="PJL77" s="139"/>
      <c r="PJM77" s="139"/>
      <c r="PJN77" s="139"/>
      <c r="PJO77" s="139"/>
      <c r="PJP77" s="139"/>
      <c r="PJQ77" s="139"/>
      <c r="PJR77" s="139"/>
      <c r="PJS77" s="139"/>
      <c r="PJT77" s="139"/>
      <c r="PJU77" s="139"/>
      <c r="PJV77" s="139"/>
      <c r="PJW77" s="139"/>
      <c r="PJX77" s="139"/>
      <c r="PJY77" s="139"/>
      <c r="PJZ77" s="139"/>
      <c r="PKA77" s="139"/>
      <c r="PKB77" s="139"/>
      <c r="PKC77" s="139"/>
      <c r="PKD77" s="139"/>
      <c r="PKE77" s="139"/>
      <c r="PKF77" s="139"/>
      <c r="PKG77" s="139"/>
      <c r="PKH77" s="139"/>
      <c r="PKI77" s="139"/>
      <c r="PKJ77" s="139"/>
      <c r="PKK77" s="139"/>
      <c r="PKL77" s="139"/>
      <c r="PKM77" s="139"/>
      <c r="PKN77" s="139"/>
      <c r="PKO77" s="139"/>
      <c r="PKP77" s="139"/>
      <c r="PKQ77" s="139"/>
      <c r="PKR77" s="139"/>
      <c r="PKS77" s="139"/>
      <c r="PKT77" s="139"/>
      <c r="PKU77" s="139"/>
      <c r="PKV77" s="139"/>
      <c r="PKW77" s="139"/>
      <c r="PKX77" s="139"/>
      <c r="PKY77" s="139"/>
      <c r="PKZ77" s="139"/>
      <c r="PLA77" s="139"/>
      <c r="PLB77" s="139"/>
      <c r="PLC77" s="139"/>
      <c r="PLD77" s="139"/>
      <c r="PLE77" s="139"/>
      <c r="PLF77" s="139"/>
      <c r="PLG77" s="139"/>
      <c r="PLH77" s="139"/>
      <c r="PLI77" s="139"/>
      <c r="PLJ77" s="139"/>
      <c r="PLK77" s="139"/>
      <c r="PLL77" s="139"/>
      <c r="PLM77" s="139"/>
      <c r="PLN77" s="139"/>
      <c r="PLO77" s="139"/>
      <c r="PLP77" s="139"/>
      <c r="PLQ77" s="139"/>
      <c r="PLR77" s="139"/>
      <c r="PLS77" s="139"/>
      <c r="PLT77" s="139"/>
      <c r="PLU77" s="139"/>
      <c r="PLV77" s="139"/>
      <c r="PLW77" s="139"/>
      <c r="PLX77" s="139"/>
      <c r="PLY77" s="139"/>
      <c r="PLZ77" s="139"/>
      <c r="PMA77" s="139"/>
      <c r="PMB77" s="139"/>
      <c r="PMC77" s="139"/>
      <c r="PMD77" s="139"/>
      <c r="PME77" s="139"/>
      <c r="PMF77" s="139"/>
      <c r="PMG77" s="139"/>
      <c r="PMH77" s="139"/>
      <c r="PMI77" s="139"/>
      <c r="PMJ77" s="139"/>
      <c r="PMK77" s="139"/>
      <c r="PML77" s="139"/>
      <c r="PMM77" s="139"/>
      <c r="PMN77" s="139"/>
      <c r="PMO77" s="139"/>
      <c r="PMP77" s="139"/>
      <c r="PMQ77" s="139"/>
      <c r="PMR77" s="139"/>
      <c r="PMS77" s="139"/>
      <c r="PMT77" s="139"/>
      <c r="PMU77" s="139"/>
      <c r="PMV77" s="139"/>
      <c r="PMW77" s="139"/>
      <c r="PMX77" s="139"/>
      <c r="PMY77" s="139"/>
      <c r="PMZ77" s="139"/>
      <c r="PNA77" s="139"/>
      <c r="PNB77" s="139"/>
      <c r="PNC77" s="139"/>
      <c r="PND77" s="139"/>
      <c r="PNE77" s="139"/>
      <c r="PNF77" s="139"/>
      <c r="PNG77" s="139"/>
      <c r="PNH77" s="139"/>
      <c r="PNI77" s="139"/>
      <c r="PNJ77" s="139"/>
      <c r="PNK77" s="139"/>
      <c r="PNL77" s="139"/>
      <c r="PNM77" s="139"/>
      <c r="PNN77" s="139"/>
      <c r="PNO77" s="139"/>
      <c r="PNP77" s="139"/>
      <c r="PNQ77" s="139"/>
      <c r="PNR77" s="139"/>
      <c r="PNS77" s="139"/>
      <c r="PNT77" s="139"/>
      <c r="PNU77" s="139"/>
      <c r="PNV77" s="139"/>
      <c r="PNW77" s="139"/>
      <c r="PNX77" s="139"/>
      <c r="PNY77" s="139"/>
      <c r="PNZ77" s="139"/>
      <c r="POA77" s="139"/>
      <c r="POB77" s="139"/>
      <c r="POC77" s="139"/>
      <c r="POD77" s="139"/>
      <c r="POE77" s="139"/>
      <c r="POF77" s="139"/>
      <c r="POG77" s="139"/>
      <c r="POH77" s="139"/>
      <c r="POI77" s="139"/>
      <c r="POJ77" s="139"/>
      <c r="POK77" s="139"/>
      <c r="POL77" s="139"/>
      <c r="POM77" s="139"/>
      <c r="PON77" s="139"/>
      <c r="POO77" s="139"/>
      <c r="POP77" s="139"/>
      <c r="POQ77" s="139"/>
      <c r="POR77" s="139"/>
      <c r="POS77" s="139"/>
      <c r="POT77" s="139"/>
      <c r="POU77" s="139"/>
      <c r="POV77" s="139"/>
      <c r="POW77" s="139"/>
      <c r="POX77" s="139"/>
      <c r="POY77" s="139"/>
      <c r="POZ77" s="139"/>
      <c r="PPA77" s="139"/>
      <c r="PPB77" s="139"/>
      <c r="PPC77" s="139"/>
      <c r="PPD77" s="139"/>
      <c r="PPE77" s="139"/>
      <c r="PPF77" s="139"/>
      <c r="PPG77" s="139"/>
      <c r="PPH77" s="139"/>
      <c r="PPI77" s="139"/>
      <c r="PPJ77" s="139"/>
      <c r="PPK77" s="139"/>
      <c r="PPL77" s="139"/>
      <c r="PPM77" s="139"/>
      <c r="PPN77" s="139"/>
      <c r="PPO77" s="139"/>
      <c r="PPP77" s="139"/>
      <c r="PPQ77" s="139"/>
      <c r="PPR77" s="139"/>
      <c r="PPS77" s="139"/>
      <c r="PPT77" s="139"/>
      <c r="PPU77" s="139"/>
      <c r="PPV77" s="139"/>
      <c r="PPW77" s="139"/>
      <c r="PPX77" s="139"/>
      <c r="PPY77" s="139"/>
      <c r="PPZ77" s="139"/>
      <c r="PQA77" s="139"/>
      <c r="PQB77" s="139"/>
      <c r="PQC77" s="139"/>
      <c r="PQD77" s="139"/>
      <c r="PQE77" s="139"/>
      <c r="PQF77" s="139"/>
      <c r="PQG77" s="139"/>
      <c r="PQH77" s="139"/>
      <c r="PQI77" s="139"/>
      <c r="PQJ77" s="139"/>
      <c r="PQK77" s="139"/>
      <c r="PQL77" s="139"/>
      <c r="PQM77" s="139"/>
      <c r="PQN77" s="139"/>
      <c r="PQO77" s="139"/>
      <c r="PQP77" s="139"/>
      <c r="PQQ77" s="139"/>
      <c r="PQR77" s="139"/>
      <c r="PQS77" s="139"/>
      <c r="PQT77" s="139"/>
      <c r="PQU77" s="139"/>
      <c r="PQV77" s="139"/>
      <c r="PQW77" s="139"/>
      <c r="PQX77" s="139"/>
      <c r="PQY77" s="139"/>
      <c r="PQZ77" s="139"/>
      <c r="PRA77" s="139"/>
      <c r="PRB77" s="139"/>
      <c r="PRC77" s="139"/>
      <c r="PRD77" s="139"/>
      <c r="PRE77" s="139"/>
      <c r="PRF77" s="139"/>
      <c r="PRG77" s="139"/>
      <c r="PRH77" s="139"/>
      <c r="PRI77" s="139"/>
      <c r="PRJ77" s="139"/>
      <c r="PRK77" s="139"/>
      <c r="PRL77" s="139"/>
      <c r="PRM77" s="139"/>
      <c r="PRN77" s="139"/>
      <c r="PRO77" s="139"/>
      <c r="PRP77" s="139"/>
      <c r="PRQ77" s="139"/>
      <c r="PRR77" s="139"/>
      <c r="PRS77" s="139"/>
      <c r="PRT77" s="139"/>
      <c r="PRU77" s="139"/>
      <c r="PRV77" s="139"/>
      <c r="PRW77" s="139"/>
      <c r="PRX77" s="139"/>
      <c r="PRY77" s="139"/>
      <c r="PRZ77" s="139"/>
      <c r="PSA77" s="139"/>
      <c r="PSB77" s="139"/>
      <c r="PSC77" s="139"/>
      <c r="PSD77" s="139"/>
      <c r="PSE77" s="139"/>
      <c r="PSF77" s="139"/>
      <c r="PSG77" s="139"/>
      <c r="PSH77" s="139"/>
      <c r="PSI77" s="139"/>
      <c r="PSJ77" s="139"/>
      <c r="PSK77" s="139"/>
      <c r="PSL77" s="139"/>
      <c r="PSM77" s="139"/>
      <c r="PSN77" s="139"/>
      <c r="PSO77" s="139"/>
      <c r="PSP77" s="139"/>
      <c r="PSQ77" s="139"/>
      <c r="PSR77" s="139"/>
      <c r="PSS77" s="139"/>
      <c r="PST77" s="139"/>
      <c r="PSU77" s="139"/>
      <c r="PSV77" s="139"/>
      <c r="PSW77" s="139"/>
      <c r="PSX77" s="139"/>
      <c r="PSY77" s="139"/>
      <c r="PSZ77" s="139"/>
      <c r="PTA77" s="139"/>
      <c r="PTB77" s="139"/>
      <c r="PTC77" s="139"/>
      <c r="PTD77" s="139"/>
      <c r="PTE77" s="139"/>
      <c r="PTF77" s="139"/>
      <c r="PTG77" s="139"/>
      <c r="PTH77" s="139"/>
      <c r="PTI77" s="139"/>
      <c r="PTJ77" s="139"/>
      <c r="PTK77" s="139"/>
      <c r="PTL77" s="139"/>
      <c r="PTM77" s="139"/>
      <c r="PTN77" s="139"/>
      <c r="PTO77" s="139"/>
      <c r="PTP77" s="139"/>
      <c r="PTQ77" s="139"/>
      <c r="PTR77" s="139"/>
      <c r="PTS77" s="139"/>
      <c r="PTT77" s="139"/>
      <c r="PTU77" s="139"/>
      <c r="PTV77" s="139"/>
      <c r="PTW77" s="139"/>
      <c r="PTX77" s="139"/>
      <c r="PTY77" s="139"/>
      <c r="PTZ77" s="139"/>
      <c r="PUA77" s="139"/>
      <c r="PUB77" s="139"/>
      <c r="PUC77" s="139"/>
      <c r="PUD77" s="139"/>
      <c r="PUE77" s="139"/>
      <c r="PUF77" s="139"/>
      <c r="PUG77" s="139"/>
      <c r="PUH77" s="139"/>
      <c r="PUI77" s="139"/>
      <c r="PUJ77" s="139"/>
      <c r="PUK77" s="139"/>
      <c r="PUL77" s="139"/>
      <c r="PUM77" s="139"/>
      <c r="PUN77" s="139"/>
      <c r="PUO77" s="139"/>
      <c r="PUP77" s="139"/>
      <c r="PUQ77" s="139"/>
      <c r="PUR77" s="139"/>
      <c r="PUS77" s="139"/>
      <c r="PUT77" s="139"/>
      <c r="PUU77" s="139"/>
      <c r="PUV77" s="139"/>
      <c r="PUW77" s="139"/>
      <c r="PUX77" s="139"/>
      <c r="PUY77" s="139"/>
      <c r="PUZ77" s="139"/>
      <c r="PVA77" s="139"/>
      <c r="PVB77" s="139"/>
      <c r="PVC77" s="139"/>
      <c r="PVD77" s="139"/>
      <c r="PVE77" s="139"/>
      <c r="PVF77" s="139"/>
      <c r="PVG77" s="139"/>
      <c r="PVH77" s="139"/>
      <c r="PVI77" s="139"/>
      <c r="PVJ77" s="139"/>
      <c r="PVK77" s="139"/>
      <c r="PVL77" s="139"/>
      <c r="PVM77" s="139"/>
      <c r="PVN77" s="139"/>
      <c r="PVO77" s="139"/>
      <c r="PVP77" s="139"/>
      <c r="PVQ77" s="139"/>
      <c r="PVR77" s="139"/>
      <c r="PVS77" s="139"/>
      <c r="PVT77" s="139"/>
      <c r="PVU77" s="139"/>
      <c r="PVV77" s="139"/>
      <c r="PVW77" s="139"/>
      <c r="PVX77" s="139"/>
      <c r="PVY77" s="139"/>
      <c r="PVZ77" s="139"/>
      <c r="PWA77" s="139"/>
      <c r="PWB77" s="139"/>
      <c r="PWC77" s="139"/>
      <c r="PWD77" s="139"/>
      <c r="PWE77" s="139"/>
      <c r="PWF77" s="139"/>
      <c r="PWG77" s="139"/>
      <c r="PWH77" s="139"/>
      <c r="PWI77" s="139"/>
      <c r="PWJ77" s="139"/>
      <c r="PWK77" s="139"/>
      <c r="PWL77" s="139"/>
      <c r="PWM77" s="139"/>
      <c r="PWN77" s="139"/>
      <c r="PWO77" s="139"/>
      <c r="PWP77" s="139"/>
      <c r="PWQ77" s="139"/>
      <c r="PWR77" s="139"/>
      <c r="PWS77" s="139"/>
      <c r="PWT77" s="139"/>
      <c r="PWU77" s="139"/>
      <c r="PWV77" s="139"/>
      <c r="PWW77" s="139"/>
      <c r="PWX77" s="139"/>
      <c r="PWY77" s="139"/>
      <c r="PWZ77" s="139"/>
      <c r="PXA77" s="139"/>
      <c r="PXB77" s="139"/>
      <c r="PXC77" s="139"/>
      <c r="PXD77" s="139"/>
      <c r="PXE77" s="139"/>
      <c r="PXF77" s="139"/>
      <c r="PXG77" s="139"/>
      <c r="PXH77" s="139"/>
      <c r="PXI77" s="139"/>
      <c r="PXJ77" s="139"/>
      <c r="PXK77" s="139"/>
      <c r="PXL77" s="139"/>
      <c r="PXM77" s="139"/>
      <c r="PXN77" s="139"/>
      <c r="PXO77" s="139"/>
      <c r="PXP77" s="139"/>
      <c r="PXQ77" s="139"/>
      <c r="PXR77" s="139"/>
      <c r="PXS77" s="139"/>
      <c r="PXT77" s="139"/>
      <c r="PXU77" s="139"/>
      <c r="PXV77" s="139"/>
      <c r="PXW77" s="139"/>
      <c r="PXX77" s="139"/>
      <c r="PXY77" s="139"/>
      <c r="PXZ77" s="139"/>
      <c r="PYA77" s="139"/>
      <c r="PYB77" s="139"/>
      <c r="PYC77" s="139"/>
      <c r="PYD77" s="139"/>
      <c r="PYE77" s="139"/>
      <c r="PYF77" s="139"/>
      <c r="PYG77" s="139"/>
      <c r="PYH77" s="139"/>
      <c r="PYI77" s="139"/>
      <c r="PYJ77" s="139"/>
      <c r="PYK77" s="139"/>
      <c r="PYL77" s="139"/>
      <c r="PYM77" s="139"/>
      <c r="PYN77" s="139"/>
      <c r="PYO77" s="139"/>
      <c r="PYP77" s="139"/>
      <c r="PYQ77" s="139"/>
      <c r="PYR77" s="139"/>
      <c r="PYS77" s="139"/>
      <c r="PYT77" s="139"/>
      <c r="PYU77" s="139"/>
      <c r="PYV77" s="139"/>
      <c r="PYW77" s="139"/>
      <c r="PYX77" s="139"/>
      <c r="PYY77" s="139"/>
      <c r="PYZ77" s="139"/>
      <c r="PZA77" s="139"/>
      <c r="PZB77" s="139"/>
      <c r="PZC77" s="139"/>
      <c r="PZD77" s="139"/>
      <c r="PZE77" s="139"/>
      <c r="PZF77" s="139"/>
      <c r="PZG77" s="139"/>
      <c r="PZH77" s="139"/>
      <c r="PZI77" s="139"/>
      <c r="PZJ77" s="139"/>
      <c r="PZK77" s="139"/>
      <c r="PZL77" s="139"/>
      <c r="PZM77" s="139"/>
      <c r="PZN77" s="139"/>
      <c r="PZO77" s="139"/>
      <c r="PZP77" s="139"/>
      <c r="PZQ77" s="139"/>
      <c r="PZR77" s="139"/>
      <c r="PZS77" s="139"/>
      <c r="PZT77" s="139"/>
      <c r="PZU77" s="139"/>
      <c r="PZV77" s="139"/>
      <c r="PZW77" s="139"/>
      <c r="PZX77" s="139"/>
      <c r="PZY77" s="139"/>
      <c r="PZZ77" s="139"/>
      <c r="QAA77" s="139"/>
      <c r="QAB77" s="139"/>
      <c r="QAC77" s="139"/>
      <c r="QAD77" s="139"/>
      <c r="QAE77" s="139"/>
      <c r="QAF77" s="139"/>
      <c r="QAG77" s="139"/>
      <c r="QAH77" s="139"/>
      <c r="QAI77" s="139"/>
      <c r="QAJ77" s="139"/>
      <c r="QAK77" s="139"/>
      <c r="QAL77" s="139"/>
      <c r="QAM77" s="139"/>
      <c r="QAN77" s="139"/>
      <c r="QAO77" s="139"/>
      <c r="QAP77" s="139"/>
      <c r="QAQ77" s="139"/>
      <c r="QAR77" s="139"/>
      <c r="QAS77" s="139"/>
      <c r="QAT77" s="139"/>
      <c r="QAU77" s="139"/>
      <c r="QAV77" s="139"/>
      <c r="QAW77" s="139"/>
      <c r="QAX77" s="139"/>
      <c r="QAY77" s="139"/>
      <c r="QAZ77" s="139"/>
      <c r="QBA77" s="139"/>
      <c r="QBB77" s="139"/>
      <c r="QBC77" s="139"/>
      <c r="QBD77" s="139"/>
      <c r="QBE77" s="139"/>
      <c r="QBF77" s="139"/>
      <c r="QBG77" s="139"/>
      <c r="QBH77" s="139"/>
      <c r="QBI77" s="139"/>
      <c r="QBJ77" s="139"/>
      <c r="QBK77" s="139"/>
      <c r="QBL77" s="139"/>
      <c r="QBM77" s="139"/>
      <c r="QBN77" s="139"/>
      <c r="QBO77" s="139"/>
      <c r="QBP77" s="139"/>
      <c r="QBQ77" s="139"/>
      <c r="QBR77" s="139"/>
      <c r="QBS77" s="139"/>
      <c r="QBT77" s="139"/>
      <c r="QBU77" s="139"/>
      <c r="QBV77" s="139"/>
      <c r="QBW77" s="139"/>
      <c r="QBX77" s="139"/>
      <c r="QBY77" s="139"/>
      <c r="QBZ77" s="139"/>
      <c r="QCA77" s="139"/>
      <c r="QCB77" s="139"/>
      <c r="QCC77" s="139"/>
      <c r="QCD77" s="139"/>
      <c r="QCE77" s="139"/>
      <c r="QCF77" s="139"/>
      <c r="QCG77" s="139"/>
      <c r="QCH77" s="139"/>
      <c r="QCI77" s="139"/>
      <c r="QCJ77" s="139"/>
      <c r="QCK77" s="139"/>
      <c r="QCL77" s="139"/>
      <c r="QCM77" s="139"/>
      <c r="QCN77" s="139"/>
      <c r="QCO77" s="139"/>
      <c r="QCP77" s="139"/>
      <c r="QCQ77" s="139"/>
      <c r="QCR77" s="139"/>
      <c r="QCS77" s="139"/>
      <c r="QCT77" s="139"/>
      <c r="QCU77" s="139"/>
      <c r="QCV77" s="139"/>
      <c r="QCW77" s="139"/>
      <c r="QCX77" s="139"/>
      <c r="QCY77" s="139"/>
      <c r="QCZ77" s="139"/>
      <c r="QDA77" s="139"/>
      <c r="QDB77" s="139"/>
      <c r="QDC77" s="139"/>
      <c r="QDD77" s="139"/>
      <c r="QDE77" s="139"/>
      <c r="QDF77" s="139"/>
      <c r="QDG77" s="139"/>
      <c r="QDH77" s="139"/>
      <c r="QDI77" s="139"/>
      <c r="QDJ77" s="139"/>
      <c r="QDK77" s="139"/>
      <c r="QDL77" s="139"/>
      <c r="QDM77" s="139"/>
      <c r="QDN77" s="139"/>
      <c r="QDO77" s="139"/>
      <c r="QDP77" s="139"/>
      <c r="QDQ77" s="139"/>
      <c r="QDR77" s="139"/>
      <c r="QDS77" s="139"/>
      <c r="QDT77" s="139"/>
      <c r="QDU77" s="139"/>
      <c r="QDV77" s="139"/>
      <c r="QDW77" s="139"/>
      <c r="QDX77" s="139"/>
      <c r="QDY77" s="139"/>
      <c r="QDZ77" s="139"/>
      <c r="QEA77" s="139"/>
      <c r="QEB77" s="139"/>
      <c r="QEC77" s="139"/>
      <c r="QED77" s="139"/>
      <c r="QEE77" s="139"/>
      <c r="QEF77" s="139"/>
      <c r="QEG77" s="139"/>
      <c r="QEH77" s="139"/>
      <c r="QEI77" s="139"/>
      <c r="QEJ77" s="139"/>
      <c r="QEK77" s="139"/>
      <c r="QEL77" s="139"/>
      <c r="QEM77" s="139"/>
      <c r="QEN77" s="139"/>
      <c r="QEO77" s="139"/>
      <c r="QEP77" s="139"/>
      <c r="QEQ77" s="139"/>
      <c r="QER77" s="139"/>
      <c r="QES77" s="139"/>
      <c r="QET77" s="139"/>
      <c r="QEU77" s="139"/>
      <c r="QEV77" s="139"/>
      <c r="QEW77" s="139"/>
      <c r="QEX77" s="139"/>
      <c r="QEY77" s="139"/>
      <c r="QEZ77" s="139"/>
      <c r="QFA77" s="139"/>
      <c r="QFB77" s="139"/>
      <c r="QFC77" s="139"/>
      <c r="QFD77" s="139"/>
      <c r="QFE77" s="139"/>
      <c r="QFF77" s="139"/>
      <c r="QFG77" s="139"/>
      <c r="QFH77" s="139"/>
      <c r="QFI77" s="139"/>
      <c r="QFJ77" s="139"/>
      <c r="QFK77" s="139"/>
      <c r="QFL77" s="139"/>
      <c r="QFM77" s="139"/>
      <c r="QFN77" s="139"/>
      <c r="QFO77" s="139"/>
      <c r="QFP77" s="139"/>
      <c r="QFQ77" s="139"/>
      <c r="QFR77" s="139"/>
      <c r="QFS77" s="139"/>
      <c r="QFT77" s="139"/>
      <c r="QFU77" s="139"/>
      <c r="QFV77" s="139"/>
      <c r="QFW77" s="139"/>
      <c r="QFX77" s="139"/>
      <c r="QFY77" s="139"/>
      <c r="QFZ77" s="139"/>
      <c r="QGA77" s="139"/>
      <c r="QGB77" s="139"/>
      <c r="QGC77" s="139"/>
      <c r="QGD77" s="139"/>
      <c r="QGE77" s="139"/>
      <c r="QGF77" s="139"/>
      <c r="QGG77" s="139"/>
      <c r="QGH77" s="139"/>
      <c r="QGI77" s="139"/>
      <c r="QGJ77" s="139"/>
      <c r="QGK77" s="139"/>
      <c r="QGL77" s="139"/>
      <c r="QGM77" s="139"/>
      <c r="QGN77" s="139"/>
      <c r="QGO77" s="139"/>
      <c r="QGP77" s="139"/>
      <c r="QGQ77" s="139"/>
      <c r="QGR77" s="139"/>
      <c r="QGS77" s="139"/>
      <c r="QGT77" s="139"/>
      <c r="QGU77" s="139"/>
      <c r="QGV77" s="139"/>
      <c r="QGW77" s="139"/>
      <c r="QGX77" s="139"/>
      <c r="QGY77" s="139"/>
      <c r="QGZ77" s="139"/>
      <c r="QHA77" s="139"/>
      <c r="QHB77" s="139"/>
      <c r="QHC77" s="139"/>
      <c r="QHD77" s="139"/>
      <c r="QHE77" s="139"/>
      <c r="QHF77" s="139"/>
      <c r="QHG77" s="139"/>
      <c r="QHH77" s="139"/>
      <c r="QHI77" s="139"/>
      <c r="QHJ77" s="139"/>
      <c r="QHK77" s="139"/>
      <c r="QHL77" s="139"/>
      <c r="QHM77" s="139"/>
      <c r="QHN77" s="139"/>
      <c r="QHO77" s="139"/>
      <c r="QHP77" s="139"/>
      <c r="QHQ77" s="139"/>
      <c r="QHR77" s="139"/>
      <c r="QHS77" s="139"/>
      <c r="QHT77" s="139"/>
      <c r="QHU77" s="139"/>
      <c r="QHV77" s="139"/>
      <c r="QHW77" s="139"/>
      <c r="QHX77" s="139"/>
      <c r="QHY77" s="139"/>
      <c r="QHZ77" s="139"/>
      <c r="QIA77" s="139"/>
      <c r="QIB77" s="139"/>
      <c r="QIC77" s="139"/>
      <c r="QID77" s="139"/>
      <c r="QIE77" s="139"/>
      <c r="QIF77" s="139"/>
      <c r="QIG77" s="139"/>
      <c r="QIH77" s="139"/>
      <c r="QII77" s="139"/>
      <c r="QIJ77" s="139"/>
      <c r="QIK77" s="139"/>
      <c r="QIL77" s="139"/>
      <c r="QIM77" s="139"/>
      <c r="QIN77" s="139"/>
      <c r="QIO77" s="139"/>
      <c r="QIP77" s="139"/>
      <c r="QIQ77" s="139"/>
      <c r="QIR77" s="139"/>
      <c r="QIS77" s="139"/>
      <c r="QIT77" s="139"/>
      <c r="QIU77" s="139"/>
      <c r="QIV77" s="139"/>
      <c r="QIW77" s="139"/>
      <c r="QIX77" s="139"/>
      <c r="QIY77" s="139"/>
      <c r="QIZ77" s="139"/>
      <c r="QJA77" s="139"/>
      <c r="QJB77" s="139"/>
      <c r="QJC77" s="139"/>
      <c r="QJD77" s="139"/>
      <c r="QJE77" s="139"/>
      <c r="QJF77" s="139"/>
      <c r="QJG77" s="139"/>
      <c r="QJH77" s="139"/>
      <c r="QJI77" s="139"/>
      <c r="QJJ77" s="139"/>
      <c r="QJK77" s="139"/>
      <c r="QJL77" s="139"/>
      <c r="QJM77" s="139"/>
      <c r="QJN77" s="139"/>
      <c r="QJO77" s="139"/>
      <c r="QJP77" s="139"/>
      <c r="QJQ77" s="139"/>
      <c r="QJR77" s="139"/>
      <c r="QJS77" s="139"/>
      <c r="QJT77" s="139"/>
      <c r="QJU77" s="139"/>
      <c r="QJV77" s="139"/>
      <c r="QJW77" s="139"/>
      <c r="QJX77" s="139"/>
      <c r="QJY77" s="139"/>
      <c r="QJZ77" s="139"/>
      <c r="QKA77" s="139"/>
      <c r="QKB77" s="139"/>
      <c r="QKC77" s="139"/>
      <c r="QKD77" s="139"/>
      <c r="QKE77" s="139"/>
      <c r="QKF77" s="139"/>
      <c r="QKG77" s="139"/>
      <c r="QKH77" s="139"/>
      <c r="QKI77" s="139"/>
      <c r="QKJ77" s="139"/>
      <c r="QKK77" s="139"/>
      <c r="QKL77" s="139"/>
      <c r="QKM77" s="139"/>
      <c r="QKN77" s="139"/>
      <c r="QKO77" s="139"/>
      <c r="QKP77" s="139"/>
      <c r="QKQ77" s="139"/>
      <c r="QKR77" s="139"/>
      <c r="QKS77" s="139"/>
      <c r="QKT77" s="139"/>
      <c r="QKU77" s="139"/>
      <c r="QKV77" s="139"/>
      <c r="QKW77" s="139"/>
      <c r="QKX77" s="139"/>
      <c r="QKY77" s="139"/>
      <c r="QKZ77" s="139"/>
      <c r="QLA77" s="139"/>
      <c r="QLB77" s="139"/>
      <c r="QLC77" s="139"/>
      <c r="QLD77" s="139"/>
      <c r="QLE77" s="139"/>
      <c r="QLF77" s="139"/>
      <c r="QLG77" s="139"/>
      <c r="QLH77" s="139"/>
      <c r="QLI77" s="139"/>
      <c r="QLJ77" s="139"/>
      <c r="QLK77" s="139"/>
      <c r="QLL77" s="139"/>
      <c r="QLM77" s="139"/>
      <c r="QLN77" s="139"/>
      <c r="QLO77" s="139"/>
      <c r="QLP77" s="139"/>
      <c r="QLQ77" s="139"/>
      <c r="QLR77" s="139"/>
      <c r="QLS77" s="139"/>
      <c r="QLT77" s="139"/>
      <c r="QLU77" s="139"/>
      <c r="QLV77" s="139"/>
      <c r="QLW77" s="139"/>
      <c r="QLX77" s="139"/>
      <c r="QLY77" s="139"/>
      <c r="QLZ77" s="139"/>
      <c r="QMA77" s="139"/>
      <c r="QMB77" s="139"/>
      <c r="QMC77" s="139"/>
      <c r="QMD77" s="139"/>
      <c r="QME77" s="139"/>
      <c r="QMF77" s="139"/>
      <c r="QMG77" s="139"/>
      <c r="QMH77" s="139"/>
      <c r="QMI77" s="139"/>
      <c r="QMJ77" s="139"/>
      <c r="QMK77" s="139"/>
      <c r="QML77" s="139"/>
      <c r="QMM77" s="139"/>
      <c r="QMN77" s="139"/>
      <c r="QMO77" s="139"/>
      <c r="QMP77" s="139"/>
      <c r="QMQ77" s="139"/>
      <c r="QMR77" s="139"/>
      <c r="QMS77" s="139"/>
      <c r="QMT77" s="139"/>
      <c r="QMU77" s="139"/>
      <c r="QMV77" s="139"/>
      <c r="QMW77" s="139"/>
      <c r="QMX77" s="139"/>
      <c r="QMY77" s="139"/>
      <c r="QMZ77" s="139"/>
      <c r="QNA77" s="139"/>
      <c r="QNB77" s="139"/>
      <c r="QNC77" s="139"/>
      <c r="QND77" s="139"/>
      <c r="QNE77" s="139"/>
      <c r="QNF77" s="139"/>
      <c r="QNG77" s="139"/>
      <c r="QNH77" s="139"/>
      <c r="QNI77" s="139"/>
      <c r="QNJ77" s="139"/>
      <c r="QNK77" s="139"/>
      <c r="QNL77" s="139"/>
      <c r="QNM77" s="139"/>
      <c r="QNN77" s="139"/>
      <c r="QNO77" s="139"/>
      <c r="QNP77" s="139"/>
      <c r="QNQ77" s="139"/>
      <c r="QNR77" s="139"/>
      <c r="QNS77" s="139"/>
      <c r="QNT77" s="139"/>
      <c r="QNU77" s="139"/>
      <c r="QNV77" s="139"/>
      <c r="QNW77" s="139"/>
      <c r="QNX77" s="139"/>
      <c r="QNY77" s="139"/>
      <c r="QNZ77" s="139"/>
      <c r="QOA77" s="139"/>
      <c r="QOB77" s="139"/>
      <c r="QOC77" s="139"/>
      <c r="QOD77" s="139"/>
      <c r="QOE77" s="139"/>
      <c r="QOF77" s="139"/>
      <c r="QOG77" s="139"/>
      <c r="QOH77" s="139"/>
      <c r="QOI77" s="139"/>
      <c r="QOJ77" s="139"/>
      <c r="QOK77" s="139"/>
      <c r="QOL77" s="139"/>
      <c r="QOM77" s="139"/>
      <c r="QON77" s="139"/>
      <c r="QOO77" s="139"/>
      <c r="QOP77" s="139"/>
      <c r="QOQ77" s="139"/>
      <c r="QOR77" s="139"/>
      <c r="QOS77" s="139"/>
      <c r="QOT77" s="139"/>
      <c r="QOU77" s="139"/>
      <c r="QOV77" s="139"/>
      <c r="QOW77" s="139"/>
      <c r="QOX77" s="139"/>
      <c r="QOY77" s="139"/>
      <c r="QOZ77" s="139"/>
      <c r="QPA77" s="139"/>
      <c r="QPB77" s="139"/>
      <c r="QPC77" s="139"/>
      <c r="QPD77" s="139"/>
      <c r="QPE77" s="139"/>
      <c r="QPF77" s="139"/>
      <c r="QPG77" s="139"/>
      <c r="QPH77" s="139"/>
      <c r="QPI77" s="139"/>
      <c r="QPJ77" s="139"/>
      <c r="QPK77" s="139"/>
      <c r="QPL77" s="139"/>
      <c r="QPM77" s="139"/>
      <c r="QPN77" s="139"/>
      <c r="QPO77" s="139"/>
      <c r="QPP77" s="139"/>
      <c r="QPQ77" s="139"/>
      <c r="QPR77" s="139"/>
      <c r="QPS77" s="139"/>
      <c r="QPT77" s="139"/>
      <c r="QPU77" s="139"/>
      <c r="QPV77" s="139"/>
      <c r="QPW77" s="139"/>
      <c r="QPX77" s="139"/>
      <c r="QPY77" s="139"/>
      <c r="QPZ77" s="139"/>
      <c r="QQA77" s="139"/>
      <c r="QQB77" s="139"/>
      <c r="QQC77" s="139"/>
      <c r="QQD77" s="139"/>
      <c r="QQE77" s="139"/>
      <c r="QQF77" s="139"/>
      <c r="QQG77" s="139"/>
      <c r="QQH77" s="139"/>
      <c r="QQI77" s="139"/>
      <c r="QQJ77" s="139"/>
      <c r="QQK77" s="139"/>
      <c r="QQL77" s="139"/>
      <c r="QQM77" s="139"/>
      <c r="QQN77" s="139"/>
      <c r="QQO77" s="139"/>
      <c r="QQP77" s="139"/>
      <c r="QQQ77" s="139"/>
      <c r="QQR77" s="139"/>
      <c r="QQS77" s="139"/>
      <c r="QQT77" s="139"/>
      <c r="QQU77" s="139"/>
      <c r="QQV77" s="139"/>
      <c r="QQW77" s="139"/>
      <c r="QQX77" s="139"/>
      <c r="QQY77" s="139"/>
      <c r="QQZ77" s="139"/>
      <c r="QRA77" s="139"/>
      <c r="QRB77" s="139"/>
      <c r="QRC77" s="139"/>
      <c r="QRD77" s="139"/>
      <c r="QRE77" s="139"/>
      <c r="QRF77" s="139"/>
      <c r="QRG77" s="139"/>
      <c r="QRH77" s="139"/>
      <c r="QRI77" s="139"/>
      <c r="QRJ77" s="139"/>
      <c r="QRK77" s="139"/>
      <c r="QRL77" s="139"/>
      <c r="QRM77" s="139"/>
      <c r="QRN77" s="139"/>
      <c r="QRO77" s="139"/>
      <c r="QRP77" s="139"/>
      <c r="QRQ77" s="139"/>
      <c r="QRR77" s="139"/>
      <c r="QRS77" s="139"/>
      <c r="QRT77" s="139"/>
      <c r="QRU77" s="139"/>
      <c r="QRV77" s="139"/>
      <c r="QRW77" s="139"/>
      <c r="QRX77" s="139"/>
      <c r="QRY77" s="139"/>
      <c r="QRZ77" s="139"/>
      <c r="QSA77" s="139"/>
      <c r="QSB77" s="139"/>
      <c r="QSC77" s="139"/>
      <c r="QSD77" s="139"/>
      <c r="QSE77" s="139"/>
      <c r="QSF77" s="139"/>
      <c r="QSG77" s="139"/>
      <c r="QSH77" s="139"/>
      <c r="QSI77" s="139"/>
      <c r="QSJ77" s="139"/>
      <c r="QSK77" s="139"/>
      <c r="QSL77" s="139"/>
      <c r="QSM77" s="139"/>
      <c r="QSN77" s="139"/>
      <c r="QSO77" s="139"/>
      <c r="QSP77" s="139"/>
      <c r="QSQ77" s="139"/>
      <c r="QSR77" s="139"/>
      <c r="QSS77" s="139"/>
      <c r="QST77" s="139"/>
      <c r="QSU77" s="139"/>
      <c r="QSV77" s="139"/>
      <c r="QSW77" s="139"/>
      <c r="QSX77" s="139"/>
      <c r="QSY77" s="139"/>
      <c r="QSZ77" s="139"/>
      <c r="QTA77" s="139"/>
      <c r="QTB77" s="139"/>
      <c r="QTC77" s="139"/>
      <c r="QTD77" s="139"/>
      <c r="QTE77" s="139"/>
      <c r="QTF77" s="139"/>
      <c r="QTG77" s="139"/>
      <c r="QTH77" s="139"/>
      <c r="QTI77" s="139"/>
      <c r="QTJ77" s="139"/>
      <c r="QTK77" s="139"/>
      <c r="QTL77" s="139"/>
      <c r="QTM77" s="139"/>
      <c r="QTN77" s="139"/>
      <c r="QTO77" s="139"/>
      <c r="QTP77" s="139"/>
      <c r="QTQ77" s="139"/>
      <c r="QTR77" s="139"/>
      <c r="QTS77" s="139"/>
      <c r="QTT77" s="139"/>
      <c r="QTU77" s="139"/>
      <c r="QTV77" s="139"/>
      <c r="QTW77" s="139"/>
      <c r="QTX77" s="139"/>
      <c r="QTY77" s="139"/>
      <c r="QTZ77" s="139"/>
      <c r="QUA77" s="139"/>
      <c r="QUB77" s="139"/>
      <c r="QUC77" s="139"/>
      <c r="QUD77" s="139"/>
      <c r="QUE77" s="139"/>
      <c r="QUF77" s="139"/>
      <c r="QUG77" s="139"/>
      <c r="QUH77" s="139"/>
      <c r="QUI77" s="139"/>
      <c r="QUJ77" s="139"/>
      <c r="QUK77" s="139"/>
      <c r="QUL77" s="139"/>
      <c r="QUM77" s="139"/>
      <c r="QUN77" s="139"/>
      <c r="QUO77" s="139"/>
      <c r="QUP77" s="139"/>
      <c r="QUQ77" s="139"/>
      <c r="QUR77" s="139"/>
      <c r="QUS77" s="139"/>
      <c r="QUT77" s="139"/>
      <c r="QUU77" s="139"/>
      <c r="QUV77" s="139"/>
      <c r="QUW77" s="139"/>
      <c r="QUX77" s="139"/>
      <c r="QUY77" s="139"/>
      <c r="QUZ77" s="139"/>
      <c r="QVA77" s="139"/>
      <c r="QVB77" s="139"/>
      <c r="QVC77" s="139"/>
      <c r="QVD77" s="139"/>
      <c r="QVE77" s="139"/>
      <c r="QVF77" s="139"/>
      <c r="QVG77" s="139"/>
      <c r="QVH77" s="139"/>
      <c r="QVI77" s="139"/>
      <c r="QVJ77" s="139"/>
      <c r="QVK77" s="139"/>
      <c r="QVL77" s="139"/>
      <c r="QVM77" s="139"/>
      <c r="QVN77" s="139"/>
      <c r="QVO77" s="139"/>
      <c r="QVP77" s="139"/>
      <c r="QVQ77" s="139"/>
      <c r="QVR77" s="139"/>
      <c r="QVS77" s="139"/>
      <c r="QVT77" s="139"/>
      <c r="QVU77" s="139"/>
      <c r="QVV77" s="139"/>
      <c r="QVW77" s="139"/>
      <c r="QVX77" s="139"/>
      <c r="QVY77" s="139"/>
      <c r="QVZ77" s="139"/>
      <c r="QWA77" s="139"/>
      <c r="QWB77" s="139"/>
      <c r="QWC77" s="139"/>
      <c r="QWD77" s="139"/>
      <c r="QWE77" s="139"/>
      <c r="QWF77" s="139"/>
      <c r="QWG77" s="139"/>
      <c r="QWH77" s="139"/>
      <c r="QWI77" s="139"/>
      <c r="QWJ77" s="139"/>
      <c r="QWK77" s="139"/>
      <c r="QWL77" s="139"/>
      <c r="QWM77" s="139"/>
      <c r="QWN77" s="139"/>
      <c r="QWO77" s="139"/>
      <c r="QWP77" s="139"/>
      <c r="QWQ77" s="139"/>
      <c r="QWR77" s="139"/>
      <c r="QWS77" s="139"/>
      <c r="QWT77" s="139"/>
      <c r="QWU77" s="139"/>
      <c r="QWV77" s="139"/>
      <c r="QWW77" s="139"/>
      <c r="QWX77" s="139"/>
      <c r="QWY77" s="139"/>
      <c r="QWZ77" s="139"/>
      <c r="QXA77" s="139"/>
      <c r="QXB77" s="139"/>
      <c r="QXC77" s="139"/>
      <c r="QXD77" s="139"/>
      <c r="QXE77" s="139"/>
      <c r="QXF77" s="139"/>
      <c r="QXG77" s="139"/>
      <c r="QXH77" s="139"/>
      <c r="QXI77" s="139"/>
      <c r="QXJ77" s="139"/>
      <c r="QXK77" s="139"/>
      <c r="QXL77" s="139"/>
      <c r="QXM77" s="139"/>
      <c r="QXN77" s="139"/>
      <c r="QXO77" s="139"/>
      <c r="QXP77" s="139"/>
      <c r="QXQ77" s="139"/>
      <c r="QXR77" s="139"/>
      <c r="QXS77" s="139"/>
      <c r="QXT77" s="139"/>
      <c r="QXU77" s="139"/>
      <c r="QXV77" s="139"/>
      <c r="QXW77" s="139"/>
      <c r="QXX77" s="139"/>
      <c r="QXY77" s="139"/>
      <c r="QXZ77" s="139"/>
      <c r="QYA77" s="139"/>
      <c r="QYB77" s="139"/>
      <c r="QYC77" s="139"/>
      <c r="QYD77" s="139"/>
      <c r="QYE77" s="139"/>
      <c r="QYF77" s="139"/>
      <c r="QYG77" s="139"/>
      <c r="QYH77" s="139"/>
      <c r="QYI77" s="139"/>
      <c r="QYJ77" s="139"/>
      <c r="QYK77" s="139"/>
      <c r="QYL77" s="139"/>
      <c r="QYM77" s="139"/>
      <c r="QYN77" s="139"/>
      <c r="QYO77" s="139"/>
      <c r="QYP77" s="139"/>
      <c r="QYQ77" s="139"/>
      <c r="QYR77" s="139"/>
      <c r="QYS77" s="139"/>
      <c r="QYT77" s="139"/>
      <c r="QYU77" s="139"/>
      <c r="QYV77" s="139"/>
      <c r="QYW77" s="139"/>
      <c r="QYX77" s="139"/>
      <c r="QYY77" s="139"/>
      <c r="QYZ77" s="139"/>
      <c r="QZA77" s="139"/>
      <c r="QZB77" s="139"/>
      <c r="QZC77" s="139"/>
      <c r="QZD77" s="139"/>
      <c r="QZE77" s="139"/>
      <c r="QZF77" s="139"/>
      <c r="QZG77" s="139"/>
      <c r="QZH77" s="139"/>
      <c r="QZI77" s="139"/>
      <c r="QZJ77" s="139"/>
      <c r="QZK77" s="139"/>
      <c r="QZL77" s="139"/>
      <c r="QZM77" s="139"/>
      <c r="QZN77" s="139"/>
      <c r="QZO77" s="139"/>
      <c r="QZP77" s="139"/>
      <c r="QZQ77" s="139"/>
      <c r="QZR77" s="139"/>
      <c r="QZS77" s="139"/>
      <c r="QZT77" s="139"/>
      <c r="QZU77" s="139"/>
      <c r="QZV77" s="139"/>
      <c r="QZW77" s="139"/>
      <c r="QZX77" s="139"/>
      <c r="QZY77" s="139"/>
      <c r="QZZ77" s="139"/>
      <c r="RAA77" s="139"/>
      <c r="RAB77" s="139"/>
      <c r="RAC77" s="139"/>
      <c r="RAD77" s="139"/>
      <c r="RAE77" s="139"/>
      <c r="RAF77" s="139"/>
      <c r="RAG77" s="139"/>
      <c r="RAH77" s="139"/>
      <c r="RAI77" s="139"/>
      <c r="RAJ77" s="139"/>
      <c r="RAK77" s="139"/>
      <c r="RAL77" s="139"/>
      <c r="RAM77" s="139"/>
      <c r="RAN77" s="139"/>
      <c r="RAO77" s="139"/>
      <c r="RAP77" s="139"/>
      <c r="RAQ77" s="139"/>
      <c r="RAR77" s="139"/>
      <c r="RAS77" s="139"/>
      <c r="RAT77" s="139"/>
      <c r="RAU77" s="139"/>
      <c r="RAV77" s="139"/>
      <c r="RAW77" s="139"/>
      <c r="RAX77" s="139"/>
      <c r="RAY77" s="139"/>
      <c r="RAZ77" s="139"/>
      <c r="RBA77" s="139"/>
      <c r="RBB77" s="139"/>
      <c r="RBC77" s="139"/>
      <c r="RBD77" s="139"/>
      <c r="RBE77" s="139"/>
      <c r="RBF77" s="139"/>
      <c r="RBG77" s="139"/>
      <c r="RBH77" s="139"/>
      <c r="RBI77" s="139"/>
      <c r="RBJ77" s="139"/>
      <c r="RBK77" s="139"/>
      <c r="RBL77" s="139"/>
      <c r="RBM77" s="139"/>
      <c r="RBN77" s="139"/>
      <c r="RBO77" s="139"/>
      <c r="RBP77" s="139"/>
      <c r="RBQ77" s="139"/>
      <c r="RBR77" s="139"/>
      <c r="RBS77" s="139"/>
      <c r="RBT77" s="139"/>
      <c r="RBU77" s="139"/>
      <c r="RBV77" s="139"/>
      <c r="RBW77" s="139"/>
      <c r="RBX77" s="139"/>
      <c r="RBY77" s="139"/>
      <c r="RBZ77" s="139"/>
      <c r="RCA77" s="139"/>
      <c r="RCB77" s="139"/>
      <c r="RCC77" s="139"/>
      <c r="RCD77" s="139"/>
      <c r="RCE77" s="139"/>
      <c r="RCF77" s="139"/>
      <c r="RCG77" s="139"/>
      <c r="RCH77" s="139"/>
      <c r="RCI77" s="139"/>
      <c r="RCJ77" s="139"/>
      <c r="RCK77" s="139"/>
      <c r="RCL77" s="139"/>
      <c r="RCM77" s="139"/>
      <c r="RCN77" s="139"/>
      <c r="RCO77" s="139"/>
      <c r="RCP77" s="139"/>
      <c r="RCQ77" s="139"/>
      <c r="RCR77" s="139"/>
      <c r="RCS77" s="139"/>
      <c r="RCT77" s="139"/>
      <c r="RCU77" s="139"/>
      <c r="RCV77" s="139"/>
      <c r="RCW77" s="139"/>
      <c r="RCX77" s="139"/>
      <c r="RCY77" s="139"/>
      <c r="RCZ77" s="139"/>
      <c r="RDA77" s="139"/>
      <c r="RDB77" s="139"/>
      <c r="RDC77" s="139"/>
      <c r="RDD77" s="139"/>
      <c r="RDE77" s="139"/>
      <c r="RDF77" s="139"/>
      <c r="RDG77" s="139"/>
      <c r="RDH77" s="139"/>
      <c r="RDI77" s="139"/>
      <c r="RDJ77" s="139"/>
      <c r="RDK77" s="139"/>
      <c r="RDL77" s="139"/>
      <c r="RDM77" s="139"/>
      <c r="RDN77" s="139"/>
      <c r="RDO77" s="139"/>
      <c r="RDP77" s="139"/>
      <c r="RDQ77" s="139"/>
      <c r="RDR77" s="139"/>
      <c r="RDS77" s="139"/>
      <c r="RDT77" s="139"/>
      <c r="RDU77" s="139"/>
      <c r="RDV77" s="139"/>
      <c r="RDW77" s="139"/>
      <c r="RDX77" s="139"/>
      <c r="RDY77" s="139"/>
      <c r="RDZ77" s="139"/>
      <c r="REA77" s="139"/>
      <c r="REB77" s="139"/>
      <c r="REC77" s="139"/>
      <c r="RED77" s="139"/>
      <c r="REE77" s="139"/>
      <c r="REF77" s="139"/>
      <c r="REG77" s="139"/>
      <c r="REH77" s="139"/>
      <c r="REI77" s="139"/>
      <c r="REJ77" s="139"/>
      <c r="REK77" s="139"/>
      <c r="REL77" s="139"/>
      <c r="REM77" s="139"/>
      <c r="REN77" s="139"/>
      <c r="REO77" s="139"/>
      <c r="REP77" s="139"/>
      <c r="REQ77" s="139"/>
      <c r="RER77" s="139"/>
      <c r="RES77" s="139"/>
      <c r="RET77" s="139"/>
      <c r="REU77" s="139"/>
      <c r="REV77" s="139"/>
      <c r="REW77" s="139"/>
      <c r="REX77" s="139"/>
      <c r="REY77" s="139"/>
      <c r="REZ77" s="139"/>
      <c r="RFA77" s="139"/>
      <c r="RFB77" s="139"/>
      <c r="RFC77" s="139"/>
      <c r="RFD77" s="139"/>
      <c r="RFE77" s="139"/>
      <c r="RFF77" s="139"/>
      <c r="RFG77" s="139"/>
      <c r="RFH77" s="139"/>
      <c r="RFI77" s="139"/>
      <c r="RFJ77" s="139"/>
      <c r="RFK77" s="139"/>
      <c r="RFL77" s="139"/>
      <c r="RFM77" s="139"/>
      <c r="RFN77" s="139"/>
      <c r="RFO77" s="139"/>
      <c r="RFP77" s="139"/>
      <c r="RFQ77" s="139"/>
      <c r="RFR77" s="139"/>
      <c r="RFS77" s="139"/>
      <c r="RFT77" s="139"/>
      <c r="RFU77" s="139"/>
      <c r="RFV77" s="139"/>
      <c r="RFW77" s="139"/>
      <c r="RFX77" s="139"/>
      <c r="RFY77" s="139"/>
      <c r="RFZ77" s="139"/>
      <c r="RGA77" s="139"/>
      <c r="RGB77" s="139"/>
      <c r="RGC77" s="139"/>
      <c r="RGD77" s="139"/>
      <c r="RGE77" s="139"/>
      <c r="RGF77" s="139"/>
      <c r="RGG77" s="139"/>
      <c r="RGH77" s="139"/>
      <c r="RGI77" s="139"/>
      <c r="RGJ77" s="139"/>
      <c r="RGK77" s="139"/>
      <c r="RGL77" s="139"/>
      <c r="RGM77" s="139"/>
      <c r="RGN77" s="139"/>
      <c r="RGO77" s="139"/>
      <c r="RGP77" s="139"/>
      <c r="RGQ77" s="139"/>
      <c r="RGR77" s="139"/>
      <c r="RGS77" s="139"/>
      <c r="RGT77" s="139"/>
      <c r="RGU77" s="139"/>
      <c r="RGV77" s="139"/>
      <c r="RGW77" s="139"/>
      <c r="RGX77" s="139"/>
      <c r="RGY77" s="139"/>
      <c r="RGZ77" s="139"/>
      <c r="RHA77" s="139"/>
      <c r="RHB77" s="139"/>
      <c r="RHC77" s="139"/>
      <c r="RHD77" s="139"/>
      <c r="RHE77" s="139"/>
      <c r="RHF77" s="139"/>
      <c r="RHG77" s="139"/>
      <c r="RHH77" s="139"/>
      <c r="RHI77" s="139"/>
      <c r="RHJ77" s="139"/>
      <c r="RHK77" s="139"/>
      <c r="RHL77" s="139"/>
      <c r="RHM77" s="139"/>
      <c r="RHN77" s="139"/>
      <c r="RHO77" s="139"/>
      <c r="RHP77" s="139"/>
      <c r="RHQ77" s="139"/>
      <c r="RHR77" s="139"/>
      <c r="RHS77" s="139"/>
      <c r="RHT77" s="139"/>
      <c r="RHU77" s="139"/>
      <c r="RHV77" s="139"/>
      <c r="RHW77" s="139"/>
      <c r="RHX77" s="139"/>
      <c r="RHY77" s="139"/>
      <c r="RHZ77" s="139"/>
      <c r="RIA77" s="139"/>
      <c r="RIB77" s="139"/>
      <c r="RIC77" s="139"/>
      <c r="RID77" s="139"/>
      <c r="RIE77" s="139"/>
      <c r="RIF77" s="139"/>
      <c r="RIG77" s="139"/>
      <c r="RIH77" s="139"/>
      <c r="RII77" s="139"/>
      <c r="RIJ77" s="139"/>
      <c r="RIK77" s="139"/>
      <c r="RIL77" s="139"/>
      <c r="RIM77" s="139"/>
      <c r="RIN77" s="139"/>
      <c r="RIO77" s="139"/>
      <c r="RIP77" s="139"/>
      <c r="RIQ77" s="139"/>
      <c r="RIR77" s="139"/>
      <c r="RIS77" s="139"/>
      <c r="RIT77" s="139"/>
      <c r="RIU77" s="139"/>
      <c r="RIV77" s="139"/>
      <c r="RIW77" s="139"/>
      <c r="RIX77" s="139"/>
      <c r="RIY77" s="139"/>
      <c r="RIZ77" s="139"/>
      <c r="RJA77" s="139"/>
      <c r="RJB77" s="139"/>
      <c r="RJC77" s="139"/>
      <c r="RJD77" s="139"/>
      <c r="RJE77" s="139"/>
      <c r="RJF77" s="139"/>
      <c r="RJG77" s="139"/>
      <c r="RJH77" s="139"/>
      <c r="RJI77" s="139"/>
      <c r="RJJ77" s="139"/>
      <c r="RJK77" s="139"/>
      <c r="RJL77" s="139"/>
      <c r="RJM77" s="139"/>
      <c r="RJN77" s="139"/>
      <c r="RJO77" s="139"/>
      <c r="RJP77" s="139"/>
      <c r="RJQ77" s="139"/>
      <c r="RJR77" s="139"/>
      <c r="RJS77" s="139"/>
      <c r="RJT77" s="139"/>
      <c r="RJU77" s="139"/>
      <c r="RJV77" s="139"/>
      <c r="RJW77" s="139"/>
      <c r="RJX77" s="139"/>
      <c r="RJY77" s="139"/>
      <c r="RJZ77" s="139"/>
      <c r="RKA77" s="139"/>
      <c r="RKB77" s="139"/>
      <c r="RKC77" s="139"/>
      <c r="RKD77" s="139"/>
      <c r="RKE77" s="139"/>
      <c r="RKF77" s="139"/>
      <c r="RKG77" s="139"/>
      <c r="RKH77" s="139"/>
      <c r="RKI77" s="139"/>
      <c r="RKJ77" s="139"/>
      <c r="RKK77" s="139"/>
      <c r="RKL77" s="139"/>
      <c r="RKM77" s="139"/>
      <c r="RKN77" s="139"/>
      <c r="RKO77" s="139"/>
      <c r="RKP77" s="139"/>
      <c r="RKQ77" s="139"/>
      <c r="RKR77" s="139"/>
      <c r="RKS77" s="139"/>
      <c r="RKT77" s="139"/>
      <c r="RKU77" s="139"/>
      <c r="RKV77" s="139"/>
      <c r="RKW77" s="139"/>
      <c r="RKX77" s="139"/>
      <c r="RKY77" s="139"/>
      <c r="RKZ77" s="139"/>
      <c r="RLA77" s="139"/>
      <c r="RLB77" s="139"/>
      <c r="RLC77" s="139"/>
      <c r="RLD77" s="139"/>
      <c r="RLE77" s="139"/>
      <c r="RLF77" s="139"/>
      <c r="RLG77" s="139"/>
      <c r="RLH77" s="139"/>
      <c r="RLI77" s="139"/>
      <c r="RLJ77" s="139"/>
      <c r="RLK77" s="139"/>
      <c r="RLL77" s="139"/>
      <c r="RLM77" s="139"/>
      <c r="RLN77" s="139"/>
      <c r="RLO77" s="139"/>
      <c r="RLP77" s="139"/>
      <c r="RLQ77" s="139"/>
      <c r="RLR77" s="139"/>
      <c r="RLS77" s="139"/>
      <c r="RLT77" s="139"/>
      <c r="RLU77" s="139"/>
      <c r="RLV77" s="139"/>
      <c r="RLW77" s="139"/>
      <c r="RLX77" s="139"/>
      <c r="RLY77" s="139"/>
      <c r="RLZ77" s="139"/>
      <c r="RMA77" s="139"/>
      <c r="RMB77" s="139"/>
      <c r="RMC77" s="139"/>
      <c r="RMD77" s="139"/>
      <c r="RME77" s="139"/>
      <c r="RMF77" s="139"/>
      <c r="RMG77" s="139"/>
      <c r="RMH77" s="139"/>
      <c r="RMI77" s="139"/>
      <c r="RMJ77" s="139"/>
      <c r="RMK77" s="139"/>
      <c r="RML77" s="139"/>
      <c r="RMM77" s="139"/>
      <c r="RMN77" s="139"/>
      <c r="RMO77" s="139"/>
      <c r="RMP77" s="139"/>
      <c r="RMQ77" s="139"/>
      <c r="RMR77" s="139"/>
      <c r="RMS77" s="139"/>
      <c r="RMT77" s="139"/>
      <c r="RMU77" s="139"/>
      <c r="RMV77" s="139"/>
      <c r="RMW77" s="139"/>
      <c r="RMX77" s="139"/>
      <c r="RMY77" s="139"/>
      <c r="RMZ77" s="139"/>
      <c r="RNA77" s="139"/>
      <c r="RNB77" s="139"/>
      <c r="RNC77" s="139"/>
      <c r="RND77" s="139"/>
      <c r="RNE77" s="139"/>
      <c r="RNF77" s="139"/>
      <c r="RNG77" s="139"/>
      <c r="RNH77" s="139"/>
      <c r="RNI77" s="139"/>
      <c r="RNJ77" s="139"/>
      <c r="RNK77" s="139"/>
      <c r="RNL77" s="139"/>
      <c r="RNM77" s="139"/>
      <c r="RNN77" s="139"/>
      <c r="RNO77" s="139"/>
      <c r="RNP77" s="139"/>
      <c r="RNQ77" s="139"/>
      <c r="RNR77" s="139"/>
      <c r="RNS77" s="139"/>
      <c r="RNT77" s="139"/>
      <c r="RNU77" s="139"/>
      <c r="RNV77" s="139"/>
      <c r="RNW77" s="139"/>
      <c r="RNX77" s="139"/>
      <c r="RNY77" s="139"/>
      <c r="RNZ77" s="139"/>
      <c r="ROA77" s="139"/>
      <c r="ROB77" s="139"/>
      <c r="ROC77" s="139"/>
      <c r="ROD77" s="139"/>
      <c r="ROE77" s="139"/>
      <c r="ROF77" s="139"/>
      <c r="ROG77" s="139"/>
      <c r="ROH77" s="139"/>
      <c r="ROI77" s="139"/>
      <c r="ROJ77" s="139"/>
      <c r="ROK77" s="139"/>
      <c r="ROL77" s="139"/>
      <c r="ROM77" s="139"/>
      <c r="RON77" s="139"/>
      <c r="ROO77" s="139"/>
      <c r="ROP77" s="139"/>
      <c r="ROQ77" s="139"/>
      <c r="ROR77" s="139"/>
      <c r="ROS77" s="139"/>
      <c r="ROT77" s="139"/>
      <c r="ROU77" s="139"/>
      <c r="ROV77" s="139"/>
      <c r="ROW77" s="139"/>
      <c r="ROX77" s="139"/>
      <c r="ROY77" s="139"/>
      <c r="ROZ77" s="139"/>
      <c r="RPA77" s="139"/>
      <c r="RPB77" s="139"/>
      <c r="RPC77" s="139"/>
      <c r="RPD77" s="139"/>
      <c r="RPE77" s="139"/>
      <c r="RPF77" s="139"/>
      <c r="RPG77" s="139"/>
      <c r="RPH77" s="139"/>
      <c r="RPI77" s="139"/>
      <c r="RPJ77" s="139"/>
      <c r="RPK77" s="139"/>
      <c r="RPL77" s="139"/>
      <c r="RPM77" s="139"/>
      <c r="RPN77" s="139"/>
      <c r="RPO77" s="139"/>
      <c r="RPP77" s="139"/>
      <c r="RPQ77" s="139"/>
      <c r="RPR77" s="139"/>
      <c r="RPS77" s="139"/>
      <c r="RPT77" s="139"/>
      <c r="RPU77" s="139"/>
      <c r="RPV77" s="139"/>
      <c r="RPW77" s="139"/>
      <c r="RPX77" s="139"/>
      <c r="RPY77" s="139"/>
      <c r="RPZ77" s="139"/>
      <c r="RQA77" s="139"/>
      <c r="RQB77" s="139"/>
      <c r="RQC77" s="139"/>
      <c r="RQD77" s="139"/>
      <c r="RQE77" s="139"/>
      <c r="RQF77" s="139"/>
      <c r="RQG77" s="139"/>
      <c r="RQH77" s="139"/>
      <c r="RQI77" s="139"/>
      <c r="RQJ77" s="139"/>
      <c r="RQK77" s="139"/>
      <c r="RQL77" s="139"/>
      <c r="RQM77" s="139"/>
      <c r="RQN77" s="139"/>
      <c r="RQO77" s="139"/>
      <c r="RQP77" s="139"/>
      <c r="RQQ77" s="139"/>
      <c r="RQR77" s="139"/>
      <c r="RQS77" s="139"/>
      <c r="RQT77" s="139"/>
      <c r="RQU77" s="139"/>
      <c r="RQV77" s="139"/>
      <c r="RQW77" s="139"/>
      <c r="RQX77" s="139"/>
      <c r="RQY77" s="139"/>
      <c r="RQZ77" s="139"/>
      <c r="RRA77" s="139"/>
      <c r="RRB77" s="139"/>
      <c r="RRC77" s="139"/>
      <c r="RRD77" s="139"/>
      <c r="RRE77" s="139"/>
      <c r="RRF77" s="139"/>
      <c r="RRG77" s="139"/>
      <c r="RRH77" s="139"/>
      <c r="RRI77" s="139"/>
      <c r="RRJ77" s="139"/>
      <c r="RRK77" s="139"/>
      <c r="RRL77" s="139"/>
      <c r="RRM77" s="139"/>
      <c r="RRN77" s="139"/>
      <c r="RRO77" s="139"/>
      <c r="RRP77" s="139"/>
      <c r="RRQ77" s="139"/>
      <c r="RRR77" s="139"/>
      <c r="RRS77" s="139"/>
      <c r="RRT77" s="139"/>
      <c r="RRU77" s="139"/>
      <c r="RRV77" s="139"/>
      <c r="RRW77" s="139"/>
      <c r="RRX77" s="139"/>
      <c r="RRY77" s="139"/>
      <c r="RRZ77" s="139"/>
      <c r="RSA77" s="139"/>
      <c r="RSB77" s="139"/>
      <c r="RSC77" s="139"/>
      <c r="RSD77" s="139"/>
      <c r="RSE77" s="139"/>
      <c r="RSF77" s="139"/>
      <c r="RSG77" s="139"/>
      <c r="RSH77" s="139"/>
      <c r="RSI77" s="139"/>
      <c r="RSJ77" s="139"/>
      <c r="RSK77" s="139"/>
      <c r="RSL77" s="139"/>
      <c r="RSM77" s="139"/>
      <c r="RSN77" s="139"/>
      <c r="RSO77" s="139"/>
      <c r="RSP77" s="139"/>
      <c r="RSQ77" s="139"/>
      <c r="RSR77" s="139"/>
      <c r="RSS77" s="139"/>
      <c r="RST77" s="139"/>
      <c r="RSU77" s="139"/>
      <c r="RSV77" s="139"/>
      <c r="RSW77" s="139"/>
      <c r="RSX77" s="139"/>
      <c r="RSY77" s="139"/>
      <c r="RSZ77" s="139"/>
      <c r="RTA77" s="139"/>
      <c r="RTB77" s="139"/>
      <c r="RTC77" s="139"/>
      <c r="RTD77" s="139"/>
      <c r="RTE77" s="139"/>
      <c r="RTF77" s="139"/>
      <c r="RTG77" s="139"/>
      <c r="RTH77" s="139"/>
      <c r="RTI77" s="139"/>
      <c r="RTJ77" s="139"/>
      <c r="RTK77" s="139"/>
      <c r="RTL77" s="139"/>
      <c r="RTM77" s="139"/>
      <c r="RTN77" s="139"/>
      <c r="RTO77" s="139"/>
      <c r="RTP77" s="139"/>
      <c r="RTQ77" s="139"/>
      <c r="RTR77" s="139"/>
      <c r="RTS77" s="139"/>
      <c r="RTT77" s="139"/>
      <c r="RTU77" s="139"/>
      <c r="RTV77" s="139"/>
      <c r="RTW77" s="139"/>
      <c r="RTX77" s="139"/>
      <c r="RTY77" s="139"/>
      <c r="RTZ77" s="139"/>
      <c r="RUA77" s="139"/>
      <c r="RUB77" s="139"/>
      <c r="RUC77" s="139"/>
      <c r="RUD77" s="139"/>
      <c r="RUE77" s="139"/>
      <c r="RUF77" s="139"/>
      <c r="RUG77" s="139"/>
      <c r="RUH77" s="139"/>
      <c r="RUI77" s="139"/>
      <c r="RUJ77" s="139"/>
      <c r="RUK77" s="139"/>
      <c r="RUL77" s="139"/>
      <c r="RUM77" s="139"/>
      <c r="RUN77" s="139"/>
      <c r="RUO77" s="139"/>
      <c r="RUP77" s="139"/>
      <c r="RUQ77" s="139"/>
      <c r="RUR77" s="139"/>
      <c r="RUS77" s="139"/>
      <c r="RUT77" s="139"/>
      <c r="RUU77" s="139"/>
      <c r="RUV77" s="139"/>
      <c r="RUW77" s="139"/>
      <c r="RUX77" s="139"/>
      <c r="RUY77" s="139"/>
      <c r="RUZ77" s="139"/>
      <c r="RVA77" s="139"/>
      <c r="RVB77" s="139"/>
      <c r="RVC77" s="139"/>
      <c r="RVD77" s="139"/>
      <c r="RVE77" s="139"/>
      <c r="RVF77" s="139"/>
      <c r="RVG77" s="139"/>
      <c r="RVH77" s="139"/>
      <c r="RVI77" s="139"/>
      <c r="RVJ77" s="139"/>
      <c r="RVK77" s="139"/>
      <c r="RVL77" s="139"/>
      <c r="RVM77" s="139"/>
      <c r="RVN77" s="139"/>
      <c r="RVO77" s="139"/>
      <c r="RVP77" s="139"/>
      <c r="RVQ77" s="139"/>
      <c r="RVR77" s="139"/>
      <c r="RVS77" s="139"/>
      <c r="RVT77" s="139"/>
      <c r="RVU77" s="139"/>
      <c r="RVV77" s="139"/>
      <c r="RVW77" s="139"/>
      <c r="RVX77" s="139"/>
      <c r="RVY77" s="139"/>
      <c r="RVZ77" s="139"/>
      <c r="RWA77" s="139"/>
      <c r="RWB77" s="139"/>
      <c r="RWC77" s="139"/>
      <c r="RWD77" s="139"/>
      <c r="RWE77" s="139"/>
      <c r="RWF77" s="139"/>
      <c r="RWG77" s="139"/>
      <c r="RWH77" s="139"/>
      <c r="RWI77" s="139"/>
      <c r="RWJ77" s="139"/>
      <c r="RWK77" s="139"/>
      <c r="RWL77" s="139"/>
      <c r="RWM77" s="139"/>
      <c r="RWN77" s="139"/>
      <c r="RWO77" s="139"/>
      <c r="RWP77" s="139"/>
      <c r="RWQ77" s="139"/>
      <c r="RWR77" s="139"/>
      <c r="RWS77" s="139"/>
      <c r="RWT77" s="139"/>
      <c r="RWU77" s="139"/>
      <c r="RWV77" s="139"/>
      <c r="RWW77" s="139"/>
      <c r="RWX77" s="139"/>
      <c r="RWY77" s="139"/>
      <c r="RWZ77" s="139"/>
      <c r="RXA77" s="139"/>
      <c r="RXB77" s="139"/>
      <c r="RXC77" s="139"/>
      <c r="RXD77" s="139"/>
      <c r="RXE77" s="139"/>
      <c r="RXF77" s="139"/>
      <c r="RXG77" s="139"/>
      <c r="RXH77" s="139"/>
      <c r="RXI77" s="139"/>
      <c r="RXJ77" s="139"/>
      <c r="RXK77" s="139"/>
      <c r="RXL77" s="139"/>
      <c r="RXM77" s="139"/>
      <c r="RXN77" s="139"/>
      <c r="RXO77" s="139"/>
      <c r="RXP77" s="139"/>
      <c r="RXQ77" s="139"/>
      <c r="RXR77" s="139"/>
      <c r="RXS77" s="139"/>
      <c r="RXT77" s="139"/>
      <c r="RXU77" s="139"/>
      <c r="RXV77" s="139"/>
      <c r="RXW77" s="139"/>
      <c r="RXX77" s="139"/>
      <c r="RXY77" s="139"/>
      <c r="RXZ77" s="139"/>
      <c r="RYA77" s="139"/>
      <c r="RYB77" s="139"/>
      <c r="RYC77" s="139"/>
      <c r="RYD77" s="139"/>
      <c r="RYE77" s="139"/>
      <c r="RYF77" s="139"/>
      <c r="RYG77" s="139"/>
      <c r="RYH77" s="139"/>
      <c r="RYI77" s="139"/>
      <c r="RYJ77" s="139"/>
      <c r="RYK77" s="139"/>
      <c r="RYL77" s="139"/>
      <c r="RYM77" s="139"/>
      <c r="RYN77" s="139"/>
      <c r="RYO77" s="139"/>
      <c r="RYP77" s="139"/>
      <c r="RYQ77" s="139"/>
      <c r="RYR77" s="139"/>
      <c r="RYS77" s="139"/>
      <c r="RYT77" s="139"/>
      <c r="RYU77" s="139"/>
      <c r="RYV77" s="139"/>
      <c r="RYW77" s="139"/>
      <c r="RYX77" s="139"/>
      <c r="RYY77" s="139"/>
      <c r="RYZ77" s="139"/>
      <c r="RZA77" s="139"/>
      <c r="RZB77" s="139"/>
      <c r="RZC77" s="139"/>
      <c r="RZD77" s="139"/>
      <c r="RZE77" s="139"/>
      <c r="RZF77" s="139"/>
      <c r="RZG77" s="139"/>
      <c r="RZH77" s="139"/>
      <c r="RZI77" s="139"/>
      <c r="RZJ77" s="139"/>
      <c r="RZK77" s="139"/>
      <c r="RZL77" s="139"/>
      <c r="RZM77" s="139"/>
      <c r="RZN77" s="139"/>
      <c r="RZO77" s="139"/>
      <c r="RZP77" s="139"/>
      <c r="RZQ77" s="139"/>
      <c r="RZR77" s="139"/>
      <c r="RZS77" s="139"/>
      <c r="RZT77" s="139"/>
      <c r="RZU77" s="139"/>
      <c r="RZV77" s="139"/>
      <c r="RZW77" s="139"/>
      <c r="RZX77" s="139"/>
      <c r="RZY77" s="139"/>
      <c r="RZZ77" s="139"/>
      <c r="SAA77" s="139"/>
      <c r="SAB77" s="139"/>
      <c r="SAC77" s="139"/>
      <c r="SAD77" s="139"/>
      <c r="SAE77" s="139"/>
      <c r="SAF77" s="139"/>
      <c r="SAG77" s="139"/>
      <c r="SAH77" s="139"/>
      <c r="SAI77" s="139"/>
      <c r="SAJ77" s="139"/>
      <c r="SAK77" s="139"/>
      <c r="SAL77" s="139"/>
      <c r="SAM77" s="139"/>
      <c r="SAN77" s="139"/>
      <c r="SAO77" s="139"/>
      <c r="SAP77" s="139"/>
      <c r="SAQ77" s="139"/>
      <c r="SAR77" s="139"/>
      <c r="SAS77" s="139"/>
      <c r="SAT77" s="139"/>
      <c r="SAU77" s="139"/>
      <c r="SAV77" s="139"/>
      <c r="SAW77" s="139"/>
      <c r="SAX77" s="139"/>
      <c r="SAY77" s="139"/>
      <c r="SAZ77" s="139"/>
      <c r="SBA77" s="139"/>
      <c r="SBB77" s="139"/>
      <c r="SBC77" s="139"/>
      <c r="SBD77" s="139"/>
      <c r="SBE77" s="139"/>
      <c r="SBF77" s="139"/>
      <c r="SBG77" s="139"/>
      <c r="SBH77" s="139"/>
      <c r="SBI77" s="139"/>
      <c r="SBJ77" s="139"/>
      <c r="SBK77" s="139"/>
      <c r="SBL77" s="139"/>
      <c r="SBM77" s="139"/>
      <c r="SBN77" s="139"/>
      <c r="SBO77" s="139"/>
      <c r="SBP77" s="139"/>
      <c r="SBQ77" s="139"/>
      <c r="SBR77" s="139"/>
      <c r="SBS77" s="139"/>
      <c r="SBT77" s="139"/>
      <c r="SBU77" s="139"/>
      <c r="SBV77" s="139"/>
      <c r="SBW77" s="139"/>
      <c r="SBX77" s="139"/>
      <c r="SBY77" s="139"/>
      <c r="SBZ77" s="139"/>
      <c r="SCA77" s="139"/>
      <c r="SCB77" s="139"/>
      <c r="SCC77" s="139"/>
      <c r="SCD77" s="139"/>
      <c r="SCE77" s="139"/>
      <c r="SCF77" s="139"/>
      <c r="SCG77" s="139"/>
      <c r="SCH77" s="139"/>
      <c r="SCI77" s="139"/>
      <c r="SCJ77" s="139"/>
      <c r="SCK77" s="139"/>
      <c r="SCL77" s="139"/>
      <c r="SCM77" s="139"/>
      <c r="SCN77" s="139"/>
      <c r="SCO77" s="139"/>
      <c r="SCP77" s="139"/>
      <c r="SCQ77" s="139"/>
      <c r="SCR77" s="139"/>
      <c r="SCS77" s="139"/>
      <c r="SCT77" s="139"/>
      <c r="SCU77" s="139"/>
      <c r="SCV77" s="139"/>
      <c r="SCW77" s="139"/>
      <c r="SCX77" s="139"/>
      <c r="SCY77" s="139"/>
      <c r="SCZ77" s="139"/>
      <c r="SDA77" s="139"/>
      <c r="SDB77" s="139"/>
      <c r="SDC77" s="139"/>
      <c r="SDD77" s="139"/>
      <c r="SDE77" s="139"/>
      <c r="SDF77" s="139"/>
      <c r="SDG77" s="139"/>
      <c r="SDH77" s="139"/>
      <c r="SDI77" s="139"/>
      <c r="SDJ77" s="139"/>
      <c r="SDK77" s="139"/>
      <c r="SDL77" s="139"/>
      <c r="SDM77" s="139"/>
      <c r="SDN77" s="139"/>
      <c r="SDO77" s="139"/>
      <c r="SDP77" s="139"/>
      <c r="SDQ77" s="139"/>
      <c r="SDR77" s="139"/>
      <c r="SDS77" s="139"/>
      <c r="SDT77" s="139"/>
      <c r="SDU77" s="139"/>
      <c r="SDV77" s="139"/>
      <c r="SDW77" s="139"/>
      <c r="SDX77" s="139"/>
      <c r="SDY77" s="139"/>
      <c r="SDZ77" s="139"/>
      <c r="SEA77" s="139"/>
      <c r="SEB77" s="139"/>
      <c r="SEC77" s="139"/>
      <c r="SED77" s="139"/>
      <c r="SEE77" s="139"/>
      <c r="SEF77" s="139"/>
      <c r="SEG77" s="139"/>
      <c r="SEH77" s="139"/>
      <c r="SEI77" s="139"/>
      <c r="SEJ77" s="139"/>
      <c r="SEK77" s="139"/>
      <c r="SEL77" s="139"/>
      <c r="SEM77" s="139"/>
      <c r="SEN77" s="139"/>
      <c r="SEO77" s="139"/>
      <c r="SEP77" s="139"/>
      <c r="SEQ77" s="139"/>
      <c r="SER77" s="139"/>
      <c r="SES77" s="139"/>
      <c r="SET77" s="139"/>
      <c r="SEU77" s="139"/>
      <c r="SEV77" s="139"/>
      <c r="SEW77" s="139"/>
      <c r="SEX77" s="139"/>
      <c r="SEY77" s="139"/>
      <c r="SEZ77" s="139"/>
      <c r="SFA77" s="139"/>
      <c r="SFB77" s="139"/>
      <c r="SFC77" s="139"/>
      <c r="SFD77" s="139"/>
      <c r="SFE77" s="139"/>
      <c r="SFF77" s="139"/>
      <c r="SFG77" s="139"/>
      <c r="SFH77" s="139"/>
      <c r="SFI77" s="139"/>
      <c r="SFJ77" s="139"/>
      <c r="SFK77" s="139"/>
      <c r="SFL77" s="139"/>
      <c r="SFM77" s="139"/>
      <c r="SFN77" s="139"/>
      <c r="SFO77" s="139"/>
      <c r="SFP77" s="139"/>
      <c r="SFQ77" s="139"/>
      <c r="SFR77" s="139"/>
      <c r="SFS77" s="139"/>
      <c r="SFT77" s="139"/>
      <c r="SFU77" s="139"/>
      <c r="SFV77" s="139"/>
      <c r="SFW77" s="139"/>
      <c r="SFX77" s="139"/>
      <c r="SFY77" s="139"/>
      <c r="SFZ77" s="139"/>
      <c r="SGA77" s="139"/>
      <c r="SGB77" s="139"/>
      <c r="SGC77" s="139"/>
      <c r="SGD77" s="139"/>
      <c r="SGE77" s="139"/>
      <c r="SGF77" s="139"/>
      <c r="SGG77" s="139"/>
      <c r="SGH77" s="139"/>
      <c r="SGI77" s="139"/>
      <c r="SGJ77" s="139"/>
      <c r="SGK77" s="139"/>
      <c r="SGL77" s="139"/>
      <c r="SGM77" s="139"/>
      <c r="SGN77" s="139"/>
      <c r="SGO77" s="139"/>
      <c r="SGP77" s="139"/>
      <c r="SGQ77" s="139"/>
      <c r="SGR77" s="139"/>
      <c r="SGS77" s="139"/>
      <c r="SGT77" s="139"/>
      <c r="SGU77" s="139"/>
      <c r="SGV77" s="139"/>
      <c r="SGW77" s="139"/>
      <c r="SGX77" s="139"/>
      <c r="SGY77" s="139"/>
      <c r="SGZ77" s="139"/>
      <c r="SHA77" s="139"/>
      <c r="SHB77" s="139"/>
      <c r="SHC77" s="139"/>
      <c r="SHD77" s="139"/>
      <c r="SHE77" s="139"/>
      <c r="SHF77" s="139"/>
      <c r="SHG77" s="139"/>
      <c r="SHH77" s="139"/>
      <c r="SHI77" s="139"/>
      <c r="SHJ77" s="139"/>
      <c r="SHK77" s="139"/>
      <c r="SHL77" s="139"/>
      <c r="SHM77" s="139"/>
      <c r="SHN77" s="139"/>
      <c r="SHO77" s="139"/>
      <c r="SHP77" s="139"/>
      <c r="SHQ77" s="139"/>
      <c r="SHR77" s="139"/>
      <c r="SHS77" s="139"/>
      <c r="SHT77" s="139"/>
      <c r="SHU77" s="139"/>
      <c r="SHV77" s="139"/>
      <c r="SHW77" s="139"/>
      <c r="SHX77" s="139"/>
      <c r="SHY77" s="139"/>
      <c r="SHZ77" s="139"/>
      <c r="SIA77" s="139"/>
      <c r="SIB77" s="139"/>
      <c r="SIC77" s="139"/>
      <c r="SID77" s="139"/>
      <c r="SIE77" s="139"/>
      <c r="SIF77" s="139"/>
      <c r="SIG77" s="139"/>
      <c r="SIH77" s="139"/>
      <c r="SII77" s="139"/>
      <c r="SIJ77" s="139"/>
      <c r="SIK77" s="139"/>
      <c r="SIL77" s="139"/>
      <c r="SIM77" s="139"/>
      <c r="SIN77" s="139"/>
      <c r="SIO77" s="139"/>
      <c r="SIP77" s="139"/>
      <c r="SIQ77" s="139"/>
      <c r="SIR77" s="139"/>
      <c r="SIS77" s="139"/>
      <c r="SIT77" s="139"/>
      <c r="SIU77" s="139"/>
      <c r="SIV77" s="139"/>
      <c r="SIW77" s="139"/>
      <c r="SIX77" s="139"/>
      <c r="SIY77" s="139"/>
      <c r="SIZ77" s="139"/>
      <c r="SJA77" s="139"/>
      <c r="SJB77" s="139"/>
      <c r="SJC77" s="139"/>
      <c r="SJD77" s="139"/>
      <c r="SJE77" s="139"/>
      <c r="SJF77" s="139"/>
      <c r="SJG77" s="139"/>
      <c r="SJH77" s="139"/>
      <c r="SJI77" s="139"/>
      <c r="SJJ77" s="139"/>
      <c r="SJK77" s="139"/>
      <c r="SJL77" s="139"/>
      <c r="SJM77" s="139"/>
      <c r="SJN77" s="139"/>
      <c r="SJO77" s="139"/>
      <c r="SJP77" s="139"/>
      <c r="SJQ77" s="139"/>
      <c r="SJR77" s="139"/>
      <c r="SJS77" s="139"/>
      <c r="SJT77" s="139"/>
      <c r="SJU77" s="139"/>
      <c r="SJV77" s="139"/>
      <c r="SJW77" s="139"/>
      <c r="SJX77" s="139"/>
      <c r="SJY77" s="139"/>
      <c r="SJZ77" s="139"/>
      <c r="SKA77" s="139"/>
      <c r="SKB77" s="139"/>
      <c r="SKC77" s="139"/>
      <c r="SKD77" s="139"/>
      <c r="SKE77" s="139"/>
      <c r="SKF77" s="139"/>
      <c r="SKG77" s="139"/>
      <c r="SKH77" s="139"/>
      <c r="SKI77" s="139"/>
      <c r="SKJ77" s="139"/>
      <c r="SKK77" s="139"/>
      <c r="SKL77" s="139"/>
      <c r="SKM77" s="139"/>
      <c r="SKN77" s="139"/>
      <c r="SKO77" s="139"/>
      <c r="SKP77" s="139"/>
      <c r="SKQ77" s="139"/>
      <c r="SKR77" s="139"/>
      <c r="SKS77" s="139"/>
      <c r="SKT77" s="139"/>
      <c r="SKU77" s="139"/>
      <c r="SKV77" s="139"/>
      <c r="SKW77" s="139"/>
      <c r="SKX77" s="139"/>
      <c r="SKY77" s="139"/>
      <c r="SKZ77" s="139"/>
      <c r="SLA77" s="139"/>
      <c r="SLB77" s="139"/>
      <c r="SLC77" s="139"/>
      <c r="SLD77" s="139"/>
      <c r="SLE77" s="139"/>
      <c r="SLF77" s="139"/>
      <c r="SLG77" s="139"/>
      <c r="SLH77" s="139"/>
      <c r="SLI77" s="139"/>
      <c r="SLJ77" s="139"/>
      <c r="SLK77" s="139"/>
      <c r="SLL77" s="139"/>
      <c r="SLM77" s="139"/>
      <c r="SLN77" s="139"/>
      <c r="SLO77" s="139"/>
      <c r="SLP77" s="139"/>
      <c r="SLQ77" s="139"/>
      <c r="SLR77" s="139"/>
      <c r="SLS77" s="139"/>
      <c r="SLT77" s="139"/>
      <c r="SLU77" s="139"/>
      <c r="SLV77" s="139"/>
      <c r="SLW77" s="139"/>
      <c r="SLX77" s="139"/>
      <c r="SLY77" s="139"/>
      <c r="SLZ77" s="139"/>
      <c r="SMA77" s="139"/>
      <c r="SMB77" s="139"/>
      <c r="SMC77" s="139"/>
      <c r="SMD77" s="139"/>
      <c r="SME77" s="139"/>
      <c r="SMF77" s="139"/>
      <c r="SMG77" s="139"/>
      <c r="SMH77" s="139"/>
      <c r="SMI77" s="139"/>
      <c r="SMJ77" s="139"/>
      <c r="SMK77" s="139"/>
      <c r="SML77" s="139"/>
      <c r="SMM77" s="139"/>
      <c r="SMN77" s="139"/>
      <c r="SMO77" s="139"/>
      <c r="SMP77" s="139"/>
      <c r="SMQ77" s="139"/>
      <c r="SMR77" s="139"/>
      <c r="SMS77" s="139"/>
      <c r="SMT77" s="139"/>
      <c r="SMU77" s="139"/>
      <c r="SMV77" s="139"/>
      <c r="SMW77" s="139"/>
      <c r="SMX77" s="139"/>
      <c r="SMY77" s="139"/>
      <c r="SMZ77" s="139"/>
      <c r="SNA77" s="139"/>
      <c r="SNB77" s="139"/>
      <c r="SNC77" s="139"/>
      <c r="SND77" s="139"/>
      <c r="SNE77" s="139"/>
      <c r="SNF77" s="139"/>
      <c r="SNG77" s="139"/>
      <c r="SNH77" s="139"/>
      <c r="SNI77" s="139"/>
      <c r="SNJ77" s="139"/>
      <c r="SNK77" s="139"/>
      <c r="SNL77" s="139"/>
      <c r="SNM77" s="139"/>
      <c r="SNN77" s="139"/>
      <c r="SNO77" s="139"/>
      <c r="SNP77" s="139"/>
      <c r="SNQ77" s="139"/>
      <c r="SNR77" s="139"/>
      <c r="SNS77" s="139"/>
      <c r="SNT77" s="139"/>
      <c r="SNU77" s="139"/>
      <c r="SNV77" s="139"/>
      <c r="SNW77" s="139"/>
      <c r="SNX77" s="139"/>
      <c r="SNY77" s="139"/>
      <c r="SNZ77" s="139"/>
      <c r="SOA77" s="139"/>
      <c r="SOB77" s="139"/>
      <c r="SOC77" s="139"/>
      <c r="SOD77" s="139"/>
      <c r="SOE77" s="139"/>
      <c r="SOF77" s="139"/>
      <c r="SOG77" s="139"/>
      <c r="SOH77" s="139"/>
      <c r="SOI77" s="139"/>
      <c r="SOJ77" s="139"/>
      <c r="SOK77" s="139"/>
      <c r="SOL77" s="139"/>
      <c r="SOM77" s="139"/>
      <c r="SON77" s="139"/>
      <c r="SOO77" s="139"/>
      <c r="SOP77" s="139"/>
      <c r="SOQ77" s="139"/>
      <c r="SOR77" s="139"/>
      <c r="SOS77" s="139"/>
      <c r="SOT77" s="139"/>
      <c r="SOU77" s="139"/>
      <c r="SOV77" s="139"/>
      <c r="SOW77" s="139"/>
      <c r="SOX77" s="139"/>
      <c r="SOY77" s="139"/>
      <c r="SOZ77" s="139"/>
      <c r="SPA77" s="139"/>
      <c r="SPB77" s="139"/>
      <c r="SPC77" s="139"/>
      <c r="SPD77" s="139"/>
      <c r="SPE77" s="139"/>
      <c r="SPF77" s="139"/>
      <c r="SPG77" s="139"/>
      <c r="SPH77" s="139"/>
      <c r="SPI77" s="139"/>
      <c r="SPJ77" s="139"/>
      <c r="SPK77" s="139"/>
      <c r="SPL77" s="139"/>
      <c r="SPM77" s="139"/>
      <c r="SPN77" s="139"/>
      <c r="SPO77" s="139"/>
      <c r="SPP77" s="139"/>
      <c r="SPQ77" s="139"/>
      <c r="SPR77" s="139"/>
      <c r="SPS77" s="139"/>
      <c r="SPT77" s="139"/>
      <c r="SPU77" s="139"/>
      <c r="SPV77" s="139"/>
      <c r="SPW77" s="139"/>
      <c r="SPX77" s="139"/>
      <c r="SPY77" s="139"/>
      <c r="SPZ77" s="139"/>
      <c r="SQA77" s="139"/>
      <c r="SQB77" s="139"/>
      <c r="SQC77" s="139"/>
      <c r="SQD77" s="139"/>
      <c r="SQE77" s="139"/>
      <c r="SQF77" s="139"/>
      <c r="SQG77" s="139"/>
      <c r="SQH77" s="139"/>
      <c r="SQI77" s="139"/>
      <c r="SQJ77" s="139"/>
      <c r="SQK77" s="139"/>
      <c r="SQL77" s="139"/>
      <c r="SQM77" s="139"/>
      <c r="SQN77" s="139"/>
      <c r="SQO77" s="139"/>
      <c r="SQP77" s="139"/>
      <c r="SQQ77" s="139"/>
      <c r="SQR77" s="139"/>
      <c r="SQS77" s="139"/>
      <c r="SQT77" s="139"/>
      <c r="SQU77" s="139"/>
      <c r="SQV77" s="139"/>
      <c r="SQW77" s="139"/>
      <c r="SQX77" s="139"/>
      <c r="SQY77" s="139"/>
      <c r="SQZ77" s="139"/>
      <c r="SRA77" s="139"/>
      <c r="SRB77" s="139"/>
      <c r="SRC77" s="139"/>
      <c r="SRD77" s="139"/>
      <c r="SRE77" s="139"/>
      <c r="SRF77" s="139"/>
      <c r="SRG77" s="139"/>
      <c r="SRH77" s="139"/>
      <c r="SRI77" s="139"/>
      <c r="SRJ77" s="139"/>
      <c r="SRK77" s="139"/>
      <c r="SRL77" s="139"/>
      <c r="SRM77" s="139"/>
      <c r="SRN77" s="139"/>
      <c r="SRO77" s="139"/>
      <c r="SRP77" s="139"/>
      <c r="SRQ77" s="139"/>
      <c r="SRR77" s="139"/>
      <c r="SRS77" s="139"/>
      <c r="SRT77" s="139"/>
      <c r="SRU77" s="139"/>
      <c r="SRV77" s="139"/>
      <c r="SRW77" s="139"/>
      <c r="SRX77" s="139"/>
      <c r="SRY77" s="139"/>
      <c r="SRZ77" s="139"/>
      <c r="SSA77" s="139"/>
      <c r="SSB77" s="139"/>
      <c r="SSC77" s="139"/>
      <c r="SSD77" s="139"/>
      <c r="SSE77" s="139"/>
      <c r="SSF77" s="139"/>
      <c r="SSG77" s="139"/>
      <c r="SSH77" s="139"/>
      <c r="SSI77" s="139"/>
      <c r="SSJ77" s="139"/>
      <c r="SSK77" s="139"/>
      <c r="SSL77" s="139"/>
      <c r="SSM77" s="139"/>
      <c r="SSN77" s="139"/>
      <c r="SSO77" s="139"/>
      <c r="SSP77" s="139"/>
      <c r="SSQ77" s="139"/>
      <c r="SSR77" s="139"/>
      <c r="SSS77" s="139"/>
      <c r="SST77" s="139"/>
      <c r="SSU77" s="139"/>
      <c r="SSV77" s="139"/>
      <c r="SSW77" s="139"/>
      <c r="SSX77" s="139"/>
      <c r="SSY77" s="139"/>
      <c r="SSZ77" s="139"/>
      <c r="STA77" s="139"/>
      <c r="STB77" s="139"/>
      <c r="STC77" s="139"/>
      <c r="STD77" s="139"/>
      <c r="STE77" s="139"/>
      <c r="STF77" s="139"/>
      <c r="STG77" s="139"/>
      <c r="STH77" s="139"/>
      <c r="STI77" s="139"/>
      <c r="STJ77" s="139"/>
      <c r="STK77" s="139"/>
      <c r="STL77" s="139"/>
      <c r="STM77" s="139"/>
      <c r="STN77" s="139"/>
      <c r="STO77" s="139"/>
      <c r="STP77" s="139"/>
      <c r="STQ77" s="139"/>
      <c r="STR77" s="139"/>
      <c r="STS77" s="139"/>
      <c r="STT77" s="139"/>
      <c r="STU77" s="139"/>
      <c r="STV77" s="139"/>
      <c r="STW77" s="139"/>
      <c r="STX77" s="139"/>
      <c r="STY77" s="139"/>
      <c r="STZ77" s="139"/>
      <c r="SUA77" s="139"/>
      <c r="SUB77" s="139"/>
      <c r="SUC77" s="139"/>
      <c r="SUD77" s="139"/>
      <c r="SUE77" s="139"/>
      <c r="SUF77" s="139"/>
      <c r="SUG77" s="139"/>
      <c r="SUH77" s="139"/>
      <c r="SUI77" s="139"/>
      <c r="SUJ77" s="139"/>
      <c r="SUK77" s="139"/>
      <c r="SUL77" s="139"/>
      <c r="SUM77" s="139"/>
      <c r="SUN77" s="139"/>
      <c r="SUO77" s="139"/>
      <c r="SUP77" s="139"/>
      <c r="SUQ77" s="139"/>
      <c r="SUR77" s="139"/>
      <c r="SUS77" s="139"/>
      <c r="SUT77" s="139"/>
      <c r="SUU77" s="139"/>
      <c r="SUV77" s="139"/>
      <c r="SUW77" s="139"/>
      <c r="SUX77" s="139"/>
      <c r="SUY77" s="139"/>
      <c r="SUZ77" s="139"/>
      <c r="SVA77" s="139"/>
      <c r="SVB77" s="139"/>
      <c r="SVC77" s="139"/>
      <c r="SVD77" s="139"/>
      <c r="SVE77" s="139"/>
      <c r="SVF77" s="139"/>
      <c r="SVG77" s="139"/>
      <c r="SVH77" s="139"/>
      <c r="SVI77" s="139"/>
      <c r="SVJ77" s="139"/>
      <c r="SVK77" s="139"/>
      <c r="SVL77" s="139"/>
      <c r="SVM77" s="139"/>
      <c r="SVN77" s="139"/>
      <c r="SVO77" s="139"/>
      <c r="SVP77" s="139"/>
      <c r="SVQ77" s="139"/>
      <c r="SVR77" s="139"/>
      <c r="SVS77" s="139"/>
      <c r="SVT77" s="139"/>
      <c r="SVU77" s="139"/>
      <c r="SVV77" s="139"/>
      <c r="SVW77" s="139"/>
      <c r="SVX77" s="139"/>
      <c r="SVY77" s="139"/>
      <c r="SVZ77" s="139"/>
      <c r="SWA77" s="139"/>
      <c r="SWB77" s="139"/>
      <c r="SWC77" s="139"/>
      <c r="SWD77" s="139"/>
      <c r="SWE77" s="139"/>
      <c r="SWF77" s="139"/>
      <c r="SWG77" s="139"/>
      <c r="SWH77" s="139"/>
      <c r="SWI77" s="139"/>
      <c r="SWJ77" s="139"/>
      <c r="SWK77" s="139"/>
      <c r="SWL77" s="139"/>
      <c r="SWM77" s="139"/>
      <c r="SWN77" s="139"/>
      <c r="SWO77" s="139"/>
      <c r="SWP77" s="139"/>
      <c r="SWQ77" s="139"/>
      <c r="SWR77" s="139"/>
      <c r="SWS77" s="139"/>
      <c r="SWT77" s="139"/>
      <c r="SWU77" s="139"/>
      <c r="SWV77" s="139"/>
      <c r="SWW77" s="139"/>
      <c r="SWX77" s="139"/>
      <c r="SWY77" s="139"/>
      <c r="SWZ77" s="139"/>
      <c r="SXA77" s="139"/>
      <c r="SXB77" s="139"/>
      <c r="SXC77" s="139"/>
      <c r="SXD77" s="139"/>
      <c r="SXE77" s="139"/>
      <c r="SXF77" s="139"/>
      <c r="SXG77" s="139"/>
      <c r="SXH77" s="139"/>
      <c r="SXI77" s="139"/>
      <c r="SXJ77" s="139"/>
      <c r="SXK77" s="139"/>
      <c r="SXL77" s="139"/>
      <c r="SXM77" s="139"/>
      <c r="SXN77" s="139"/>
      <c r="SXO77" s="139"/>
      <c r="SXP77" s="139"/>
      <c r="SXQ77" s="139"/>
      <c r="SXR77" s="139"/>
      <c r="SXS77" s="139"/>
      <c r="SXT77" s="139"/>
      <c r="SXU77" s="139"/>
      <c r="SXV77" s="139"/>
      <c r="SXW77" s="139"/>
      <c r="SXX77" s="139"/>
      <c r="SXY77" s="139"/>
      <c r="SXZ77" s="139"/>
      <c r="SYA77" s="139"/>
      <c r="SYB77" s="139"/>
      <c r="SYC77" s="139"/>
      <c r="SYD77" s="139"/>
      <c r="SYE77" s="139"/>
      <c r="SYF77" s="139"/>
      <c r="SYG77" s="139"/>
      <c r="SYH77" s="139"/>
      <c r="SYI77" s="139"/>
      <c r="SYJ77" s="139"/>
      <c r="SYK77" s="139"/>
      <c r="SYL77" s="139"/>
      <c r="SYM77" s="139"/>
      <c r="SYN77" s="139"/>
      <c r="SYO77" s="139"/>
      <c r="SYP77" s="139"/>
      <c r="SYQ77" s="139"/>
      <c r="SYR77" s="139"/>
      <c r="SYS77" s="139"/>
      <c r="SYT77" s="139"/>
      <c r="SYU77" s="139"/>
      <c r="SYV77" s="139"/>
      <c r="SYW77" s="139"/>
      <c r="SYX77" s="139"/>
      <c r="SYY77" s="139"/>
      <c r="SYZ77" s="139"/>
      <c r="SZA77" s="139"/>
      <c r="SZB77" s="139"/>
      <c r="SZC77" s="139"/>
      <c r="SZD77" s="139"/>
      <c r="SZE77" s="139"/>
      <c r="SZF77" s="139"/>
      <c r="SZG77" s="139"/>
      <c r="SZH77" s="139"/>
      <c r="SZI77" s="139"/>
      <c r="SZJ77" s="139"/>
      <c r="SZK77" s="139"/>
      <c r="SZL77" s="139"/>
      <c r="SZM77" s="139"/>
      <c r="SZN77" s="139"/>
      <c r="SZO77" s="139"/>
      <c r="SZP77" s="139"/>
      <c r="SZQ77" s="139"/>
      <c r="SZR77" s="139"/>
      <c r="SZS77" s="139"/>
      <c r="SZT77" s="139"/>
      <c r="SZU77" s="139"/>
      <c r="SZV77" s="139"/>
      <c r="SZW77" s="139"/>
      <c r="SZX77" s="139"/>
      <c r="SZY77" s="139"/>
      <c r="SZZ77" s="139"/>
      <c r="TAA77" s="139"/>
      <c r="TAB77" s="139"/>
      <c r="TAC77" s="139"/>
      <c r="TAD77" s="139"/>
      <c r="TAE77" s="139"/>
      <c r="TAF77" s="139"/>
      <c r="TAG77" s="139"/>
      <c r="TAH77" s="139"/>
      <c r="TAI77" s="139"/>
      <c r="TAJ77" s="139"/>
      <c r="TAK77" s="139"/>
      <c r="TAL77" s="139"/>
      <c r="TAM77" s="139"/>
      <c r="TAN77" s="139"/>
      <c r="TAO77" s="139"/>
      <c r="TAP77" s="139"/>
      <c r="TAQ77" s="139"/>
      <c r="TAR77" s="139"/>
      <c r="TAS77" s="139"/>
      <c r="TAT77" s="139"/>
      <c r="TAU77" s="139"/>
      <c r="TAV77" s="139"/>
      <c r="TAW77" s="139"/>
      <c r="TAX77" s="139"/>
      <c r="TAY77" s="139"/>
      <c r="TAZ77" s="139"/>
      <c r="TBA77" s="139"/>
      <c r="TBB77" s="139"/>
      <c r="TBC77" s="139"/>
      <c r="TBD77" s="139"/>
      <c r="TBE77" s="139"/>
      <c r="TBF77" s="139"/>
      <c r="TBG77" s="139"/>
      <c r="TBH77" s="139"/>
      <c r="TBI77" s="139"/>
      <c r="TBJ77" s="139"/>
      <c r="TBK77" s="139"/>
      <c r="TBL77" s="139"/>
      <c r="TBM77" s="139"/>
      <c r="TBN77" s="139"/>
      <c r="TBO77" s="139"/>
      <c r="TBP77" s="139"/>
      <c r="TBQ77" s="139"/>
      <c r="TBR77" s="139"/>
      <c r="TBS77" s="139"/>
      <c r="TBT77" s="139"/>
      <c r="TBU77" s="139"/>
      <c r="TBV77" s="139"/>
      <c r="TBW77" s="139"/>
      <c r="TBX77" s="139"/>
      <c r="TBY77" s="139"/>
      <c r="TBZ77" s="139"/>
      <c r="TCA77" s="139"/>
      <c r="TCB77" s="139"/>
      <c r="TCC77" s="139"/>
      <c r="TCD77" s="139"/>
      <c r="TCE77" s="139"/>
      <c r="TCF77" s="139"/>
      <c r="TCG77" s="139"/>
      <c r="TCH77" s="139"/>
      <c r="TCI77" s="139"/>
      <c r="TCJ77" s="139"/>
      <c r="TCK77" s="139"/>
      <c r="TCL77" s="139"/>
      <c r="TCM77" s="139"/>
      <c r="TCN77" s="139"/>
      <c r="TCO77" s="139"/>
      <c r="TCP77" s="139"/>
      <c r="TCQ77" s="139"/>
      <c r="TCR77" s="139"/>
      <c r="TCS77" s="139"/>
      <c r="TCT77" s="139"/>
      <c r="TCU77" s="139"/>
      <c r="TCV77" s="139"/>
      <c r="TCW77" s="139"/>
      <c r="TCX77" s="139"/>
      <c r="TCY77" s="139"/>
      <c r="TCZ77" s="139"/>
      <c r="TDA77" s="139"/>
      <c r="TDB77" s="139"/>
      <c r="TDC77" s="139"/>
      <c r="TDD77" s="139"/>
      <c r="TDE77" s="139"/>
      <c r="TDF77" s="139"/>
      <c r="TDG77" s="139"/>
      <c r="TDH77" s="139"/>
      <c r="TDI77" s="139"/>
      <c r="TDJ77" s="139"/>
      <c r="TDK77" s="139"/>
      <c r="TDL77" s="139"/>
      <c r="TDM77" s="139"/>
      <c r="TDN77" s="139"/>
      <c r="TDO77" s="139"/>
      <c r="TDP77" s="139"/>
      <c r="TDQ77" s="139"/>
      <c r="TDR77" s="139"/>
      <c r="TDS77" s="139"/>
      <c r="TDT77" s="139"/>
      <c r="TDU77" s="139"/>
      <c r="TDV77" s="139"/>
      <c r="TDW77" s="139"/>
      <c r="TDX77" s="139"/>
      <c r="TDY77" s="139"/>
      <c r="TDZ77" s="139"/>
      <c r="TEA77" s="139"/>
      <c r="TEB77" s="139"/>
      <c r="TEC77" s="139"/>
      <c r="TED77" s="139"/>
      <c r="TEE77" s="139"/>
      <c r="TEF77" s="139"/>
      <c r="TEG77" s="139"/>
      <c r="TEH77" s="139"/>
      <c r="TEI77" s="139"/>
      <c r="TEJ77" s="139"/>
      <c r="TEK77" s="139"/>
      <c r="TEL77" s="139"/>
      <c r="TEM77" s="139"/>
      <c r="TEN77" s="139"/>
      <c r="TEO77" s="139"/>
      <c r="TEP77" s="139"/>
      <c r="TEQ77" s="139"/>
      <c r="TER77" s="139"/>
      <c r="TES77" s="139"/>
      <c r="TET77" s="139"/>
      <c r="TEU77" s="139"/>
      <c r="TEV77" s="139"/>
      <c r="TEW77" s="139"/>
      <c r="TEX77" s="139"/>
      <c r="TEY77" s="139"/>
      <c r="TEZ77" s="139"/>
      <c r="TFA77" s="139"/>
      <c r="TFB77" s="139"/>
      <c r="TFC77" s="139"/>
      <c r="TFD77" s="139"/>
      <c r="TFE77" s="139"/>
      <c r="TFF77" s="139"/>
      <c r="TFG77" s="139"/>
      <c r="TFH77" s="139"/>
      <c r="TFI77" s="139"/>
      <c r="TFJ77" s="139"/>
      <c r="TFK77" s="139"/>
      <c r="TFL77" s="139"/>
      <c r="TFM77" s="139"/>
      <c r="TFN77" s="139"/>
      <c r="TFO77" s="139"/>
      <c r="TFP77" s="139"/>
      <c r="TFQ77" s="139"/>
      <c r="TFR77" s="139"/>
      <c r="TFS77" s="139"/>
      <c r="TFT77" s="139"/>
      <c r="TFU77" s="139"/>
      <c r="TFV77" s="139"/>
      <c r="TFW77" s="139"/>
      <c r="TFX77" s="139"/>
      <c r="TFY77" s="139"/>
      <c r="TFZ77" s="139"/>
      <c r="TGA77" s="139"/>
      <c r="TGB77" s="139"/>
      <c r="TGC77" s="139"/>
      <c r="TGD77" s="139"/>
      <c r="TGE77" s="139"/>
      <c r="TGF77" s="139"/>
      <c r="TGG77" s="139"/>
      <c r="TGH77" s="139"/>
      <c r="TGI77" s="139"/>
      <c r="TGJ77" s="139"/>
      <c r="TGK77" s="139"/>
      <c r="TGL77" s="139"/>
      <c r="TGM77" s="139"/>
      <c r="TGN77" s="139"/>
      <c r="TGO77" s="139"/>
      <c r="TGP77" s="139"/>
      <c r="TGQ77" s="139"/>
      <c r="TGR77" s="139"/>
      <c r="TGS77" s="139"/>
      <c r="TGT77" s="139"/>
      <c r="TGU77" s="139"/>
      <c r="TGV77" s="139"/>
      <c r="TGW77" s="139"/>
      <c r="TGX77" s="139"/>
      <c r="TGY77" s="139"/>
      <c r="TGZ77" s="139"/>
      <c r="THA77" s="139"/>
      <c r="THB77" s="139"/>
      <c r="THC77" s="139"/>
      <c r="THD77" s="139"/>
      <c r="THE77" s="139"/>
      <c r="THF77" s="139"/>
      <c r="THG77" s="139"/>
      <c r="THH77" s="139"/>
      <c r="THI77" s="139"/>
      <c r="THJ77" s="139"/>
      <c r="THK77" s="139"/>
      <c r="THL77" s="139"/>
      <c r="THM77" s="139"/>
      <c r="THN77" s="139"/>
      <c r="THO77" s="139"/>
      <c r="THP77" s="139"/>
      <c r="THQ77" s="139"/>
      <c r="THR77" s="139"/>
      <c r="THS77" s="139"/>
      <c r="THT77" s="139"/>
      <c r="THU77" s="139"/>
      <c r="THV77" s="139"/>
      <c r="THW77" s="139"/>
      <c r="THX77" s="139"/>
      <c r="THY77" s="139"/>
      <c r="THZ77" s="139"/>
      <c r="TIA77" s="139"/>
      <c r="TIB77" s="139"/>
      <c r="TIC77" s="139"/>
      <c r="TID77" s="139"/>
      <c r="TIE77" s="139"/>
      <c r="TIF77" s="139"/>
      <c r="TIG77" s="139"/>
      <c r="TIH77" s="139"/>
      <c r="TII77" s="139"/>
      <c r="TIJ77" s="139"/>
      <c r="TIK77" s="139"/>
      <c r="TIL77" s="139"/>
      <c r="TIM77" s="139"/>
      <c r="TIN77" s="139"/>
      <c r="TIO77" s="139"/>
      <c r="TIP77" s="139"/>
      <c r="TIQ77" s="139"/>
      <c r="TIR77" s="139"/>
      <c r="TIS77" s="139"/>
      <c r="TIT77" s="139"/>
      <c r="TIU77" s="139"/>
      <c r="TIV77" s="139"/>
      <c r="TIW77" s="139"/>
      <c r="TIX77" s="139"/>
      <c r="TIY77" s="139"/>
      <c r="TIZ77" s="139"/>
      <c r="TJA77" s="139"/>
      <c r="TJB77" s="139"/>
      <c r="TJC77" s="139"/>
      <c r="TJD77" s="139"/>
      <c r="TJE77" s="139"/>
      <c r="TJF77" s="139"/>
      <c r="TJG77" s="139"/>
      <c r="TJH77" s="139"/>
      <c r="TJI77" s="139"/>
      <c r="TJJ77" s="139"/>
      <c r="TJK77" s="139"/>
      <c r="TJL77" s="139"/>
      <c r="TJM77" s="139"/>
      <c r="TJN77" s="139"/>
      <c r="TJO77" s="139"/>
      <c r="TJP77" s="139"/>
      <c r="TJQ77" s="139"/>
      <c r="TJR77" s="139"/>
      <c r="TJS77" s="139"/>
      <c r="TJT77" s="139"/>
      <c r="TJU77" s="139"/>
      <c r="TJV77" s="139"/>
      <c r="TJW77" s="139"/>
      <c r="TJX77" s="139"/>
      <c r="TJY77" s="139"/>
      <c r="TJZ77" s="139"/>
      <c r="TKA77" s="139"/>
      <c r="TKB77" s="139"/>
      <c r="TKC77" s="139"/>
      <c r="TKD77" s="139"/>
      <c r="TKE77" s="139"/>
      <c r="TKF77" s="139"/>
      <c r="TKG77" s="139"/>
      <c r="TKH77" s="139"/>
      <c r="TKI77" s="139"/>
      <c r="TKJ77" s="139"/>
      <c r="TKK77" s="139"/>
      <c r="TKL77" s="139"/>
      <c r="TKM77" s="139"/>
      <c r="TKN77" s="139"/>
      <c r="TKO77" s="139"/>
      <c r="TKP77" s="139"/>
      <c r="TKQ77" s="139"/>
      <c r="TKR77" s="139"/>
      <c r="TKS77" s="139"/>
      <c r="TKT77" s="139"/>
      <c r="TKU77" s="139"/>
      <c r="TKV77" s="139"/>
      <c r="TKW77" s="139"/>
      <c r="TKX77" s="139"/>
      <c r="TKY77" s="139"/>
      <c r="TKZ77" s="139"/>
      <c r="TLA77" s="139"/>
      <c r="TLB77" s="139"/>
      <c r="TLC77" s="139"/>
      <c r="TLD77" s="139"/>
      <c r="TLE77" s="139"/>
      <c r="TLF77" s="139"/>
      <c r="TLG77" s="139"/>
      <c r="TLH77" s="139"/>
      <c r="TLI77" s="139"/>
      <c r="TLJ77" s="139"/>
      <c r="TLK77" s="139"/>
      <c r="TLL77" s="139"/>
      <c r="TLM77" s="139"/>
      <c r="TLN77" s="139"/>
      <c r="TLO77" s="139"/>
      <c r="TLP77" s="139"/>
      <c r="TLQ77" s="139"/>
      <c r="TLR77" s="139"/>
      <c r="TLS77" s="139"/>
      <c r="TLT77" s="139"/>
      <c r="TLU77" s="139"/>
      <c r="TLV77" s="139"/>
      <c r="TLW77" s="139"/>
      <c r="TLX77" s="139"/>
      <c r="TLY77" s="139"/>
      <c r="TLZ77" s="139"/>
      <c r="TMA77" s="139"/>
      <c r="TMB77" s="139"/>
      <c r="TMC77" s="139"/>
      <c r="TMD77" s="139"/>
      <c r="TME77" s="139"/>
      <c r="TMF77" s="139"/>
      <c r="TMG77" s="139"/>
      <c r="TMH77" s="139"/>
      <c r="TMI77" s="139"/>
      <c r="TMJ77" s="139"/>
      <c r="TMK77" s="139"/>
      <c r="TML77" s="139"/>
      <c r="TMM77" s="139"/>
      <c r="TMN77" s="139"/>
      <c r="TMO77" s="139"/>
      <c r="TMP77" s="139"/>
      <c r="TMQ77" s="139"/>
      <c r="TMR77" s="139"/>
      <c r="TMS77" s="139"/>
      <c r="TMT77" s="139"/>
      <c r="TMU77" s="139"/>
      <c r="TMV77" s="139"/>
      <c r="TMW77" s="139"/>
      <c r="TMX77" s="139"/>
      <c r="TMY77" s="139"/>
      <c r="TMZ77" s="139"/>
      <c r="TNA77" s="139"/>
      <c r="TNB77" s="139"/>
      <c r="TNC77" s="139"/>
      <c r="TND77" s="139"/>
      <c r="TNE77" s="139"/>
      <c r="TNF77" s="139"/>
      <c r="TNG77" s="139"/>
      <c r="TNH77" s="139"/>
      <c r="TNI77" s="139"/>
      <c r="TNJ77" s="139"/>
      <c r="TNK77" s="139"/>
      <c r="TNL77" s="139"/>
      <c r="TNM77" s="139"/>
      <c r="TNN77" s="139"/>
      <c r="TNO77" s="139"/>
      <c r="TNP77" s="139"/>
      <c r="TNQ77" s="139"/>
      <c r="TNR77" s="139"/>
      <c r="TNS77" s="139"/>
      <c r="TNT77" s="139"/>
      <c r="TNU77" s="139"/>
      <c r="TNV77" s="139"/>
      <c r="TNW77" s="139"/>
      <c r="TNX77" s="139"/>
      <c r="TNY77" s="139"/>
      <c r="TNZ77" s="139"/>
      <c r="TOA77" s="139"/>
      <c r="TOB77" s="139"/>
      <c r="TOC77" s="139"/>
      <c r="TOD77" s="139"/>
      <c r="TOE77" s="139"/>
      <c r="TOF77" s="139"/>
      <c r="TOG77" s="139"/>
      <c r="TOH77" s="139"/>
      <c r="TOI77" s="139"/>
      <c r="TOJ77" s="139"/>
      <c r="TOK77" s="139"/>
      <c r="TOL77" s="139"/>
      <c r="TOM77" s="139"/>
      <c r="TON77" s="139"/>
      <c r="TOO77" s="139"/>
      <c r="TOP77" s="139"/>
      <c r="TOQ77" s="139"/>
      <c r="TOR77" s="139"/>
      <c r="TOS77" s="139"/>
      <c r="TOT77" s="139"/>
      <c r="TOU77" s="139"/>
      <c r="TOV77" s="139"/>
      <c r="TOW77" s="139"/>
      <c r="TOX77" s="139"/>
      <c r="TOY77" s="139"/>
      <c r="TOZ77" s="139"/>
      <c r="TPA77" s="139"/>
      <c r="TPB77" s="139"/>
      <c r="TPC77" s="139"/>
      <c r="TPD77" s="139"/>
      <c r="TPE77" s="139"/>
      <c r="TPF77" s="139"/>
      <c r="TPG77" s="139"/>
      <c r="TPH77" s="139"/>
      <c r="TPI77" s="139"/>
      <c r="TPJ77" s="139"/>
      <c r="TPK77" s="139"/>
      <c r="TPL77" s="139"/>
      <c r="TPM77" s="139"/>
      <c r="TPN77" s="139"/>
      <c r="TPO77" s="139"/>
      <c r="TPP77" s="139"/>
      <c r="TPQ77" s="139"/>
      <c r="TPR77" s="139"/>
      <c r="TPS77" s="139"/>
      <c r="TPT77" s="139"/>
      <c r="TPU77" s="139"/>
      <c r="TPV77" s="139"/>
      <c r="TPW77" s="139"/>
      <c r="TPX77" s="139"/>
      <c r="TPY77" s="139"/>
      <c r="TPZ77" s="139"/>
      <c r="TQA77" s="139"/>
      <c r="TQB77" s="139"/>
      <c r="TQC77" s="139"/>
      <c r="TQD77" s="139"/>
      <c r="TQE77" s="139"/>
      <c r="TQF77" s="139"/>
      <c r="TQG77" s="139"/>
      <c r="TQH77" s="139"/>
      <c r="TQI77" s="139"/>
      <c r="TQJ77" s="139"/>
      <c r="TQK77" s="139"/>
      <c r="TQL77" s="139"/>
      <c r="TQM77" s="139"/>
      <c r="TQN77" s="139"/>
      <c r="TQO77" s="139"/>
      <c r="TQP77" s="139"/>
      <c r="TQQ77" s="139"/>
      <c r="TQR77" s="139"/>
      <c r="TQS77" s="139"/>
      <c r="TQT77" s="139"/>
      <c r="TQU77" s="139"/>
      <c r="TQV77" s="139"/>
      <c r="TQW77" s="139"/>
      <c r="TQX77" s="139"/>
      <c r="TQY77" s="139"/>
      <c r="TQZ77" s="139"/>
      <c r="TRA77" s="139"/>
      <c r="TRB77" s="139"/>
      <c r="TRC77" s="139"/>
      <c r="TRD77" s="139"/>
      <c r="TRE77" s="139"/>
      <c r="TRF77" s="139"/>
      <c r="TRG77" s="139"/>
      <c r="TRH77" s="139"/>
      <c r="TRI77" s="139"/>
      <c r="TRJ77" s="139"/>
      <c r="TRK77" s="139"/>
      <c r="TRL77" s="139"/>
      <c r="TRM77" s="139"/>
      <c r="TRN77" s="139"/>
      <c r="TRO77" s="139"/>
      <c r="TRP77" s="139"/>
      <c r="TRQ77" s="139"/>
      <c r="TRR77" s="139"/>
      <c r="TRS77" s="139"/>
      <c r="TRT77" s="139"/>
      <c r="TRU77" s="139"/>
      <c r="TRV77" s="139"/>
      <c r="TRW77" s="139"/>
      <c r="TRX77" s="139"/>
      <c r="TRY77" s="139"/>
      <c r="TRZ77" s="139"/>
      <c r="TSA77" s="139"/>
      <c r="TSB77" s="139"/>
      <c r="TSC77" s="139"/>
      <c r="TSD77" s="139"/>
      <c r="TSE77" s="139"/>
      <c r="TSF77" s="139"/>
      <c r="TSG77" s="139"/>
      <c r="TSH77" s="139"/>
      <c r="TSI77" s="139"/>
      <c r="TSJ77" s="139"/>
      <c r="TSK77" s="139"/>
      <c r="TSL77" s="139"/>
      <c r="TSM77" s="139"/>
      <c r="TSN77" s="139"/>
      <c r="TSO77" s="139"/>
      <c r="TSP77" s="139"/>
      <c r="TSQ77" s="139"/>
      <c r="TSR77" s="139"/>
      <c r="TSS77" s="139"/>
      <c r="TST77" s="139"/>
      <c r="TSU77" s="139"/>
      <c r="TSV77" s="139"/>
      <c r="TSW77" s="139"/>
      <c r="TSX77" s="139"/>
      <c r="TSY77" s="139"/>
      <c r="TSZ77" s="139"/>
      <c r="TTA77" s="139"/>
      <c r="TTB77" s="139"/>
      <c r="TTC77" s="139"/>
      <c r="TTD77" s="139"/>
      <c r="TTE77" s="139"/>
      <c r="TTF77" s="139"/>
      <c r="TTG77" s="139"/>
      <c r="TTH77" s="139"/>
      <c r="TTI77" s="139"/>
      <c r="TTJ77" s="139"/>
      <c r="TTK77" s="139"/>
      <c r="TTL77" s="139"/>
      <c r="TTM77" s="139"/>
      <c r="TTN77" s="139"/>
      <c r="TTO77" s="139"/>
      <c r="TTP77" s="139"/>
      <c r="TTQ77" s="139"/>
      <c r="TTR77" s="139"/>
      <c r="TTS77" s="139"/>
      <c r="TTT77" s="139"/>
      <c r="TTU77" s="139"/>
      <c r="TTV77" s="139"/>
      <c r="TTW77" s="139"/>
      <c r="TTX77" s="139"/>
      <c r="TTY77" s="139"/>
      <c r="TTZ77" s="139"/>
      <c r="TUA77" s="139"/>
      <c r="TUB77" s="139"/>
      <c r="TUC77" s="139"/>
      <c r="TUD77" s="139"/>
      <c r="TUE77" s="139"/>
      <c r="TUF77" s="139"/>
      <c r="TUG77" s="139"/>
      <c r="TUH77" s="139"/>
      <c r="TUI77" s="139"/>
      <c r="TUJ77" s="139"/>
      <c r="TUK77" s="139"/>
      <c r="TUL77" s="139"/>
      <c r="TUM77" s="139"/>
      <c r="TUN77" s="139"/>
      <c r="TUO77" s="139"/>
      <c r="TUP77" s="139"/>
      <c r="TUQ77" s="139"/>
      <c r="TUR77" s="139"/>
      <c r="TUS77" s="139"/>
      <c r="TUT77" s="139"/>
      <c r="TUU77" s="139"/>
      <c r="TUV77" s="139"/>
      <c r="TUW77" s="139"/>
      <c r="TUX77" s="139"/>
      <c r="TUY77" s="139"/>
      <c r="TUZ77" s="139"/>
      <c r="TVA77" s="139"/>
      <c r="TVB77" s="139"/>
      <c r="TVC77" s="139"/>
      <c r="TVD77" s="139"/>
      <c r="TVE77" s="139"/>
      <c r="TVF77" s="139"/>
      <c r="TVG77" s="139"/>
      <c r="TVH77" s="139"/>
      <c r="TVI77" s="139"/>
      <c r="TVJ77" s="139"/>
      <c r="TVK77" s="139"/>
      <c r="TVL77" s="139"/>
      <c r="TVM77" s="139"/>
      <c r="TVN77" s="139"/>
      <c r="TVO77" s="139"/>
      <c r="TVP77" s="139"/>
      <c r="TVQ77" s="139"/>
      <c r="TVR77" s="139"/>
      <c r="TVS77" s="139"/>
      <c r="TVT77" s="139"/>
      <c r="TVU77" s="139"/>
      <c r="TVV77" s="139"/>
      <c r="TVW77" s="139"/>
      <c r="TVX77" s="139"/>
      <c r="TVY77" s="139"/>
      <c r="TVZ77" s="139"/>
      <c r="TWA77" s="139"/>
      <c r="TWB77" s="139"/>
      <c r="TWC77" s="139"/>
      <c r="TWD77" s="139"/>
      <c r="TWE77" s="139"/>
      <c r="TWF77" s="139"/>
      <c r="TWG77" s="139"/>
      <c r="TWH77" s="139"/>
      <c r="TWI77" s="139"/>
      <c r="TWJ77" s="139"/>
      <c r="TWK77" s="139"/>
      <c r="TWL77" s="139"/>
      <c r="TWM77" s="139"/>
      <c r="TWN77" s="139"/>
      <c r="TWO77" s="139"/>
      <c r="TWP77" s="139"/>
      <c r="TWQ77" s="139"/>
      <c r="TWR77" s="139"/>
      <c r="TWS77" s="139"/>
      <c r="TWT77" s="139"/>
      <c r="TWU77" s="139"/>
      <c r="TWV77" s="139"/>
      <c r="TWW77" s="139"/>
      <c r="TWX77" s="139"/>
      <c r="TWY77" s="139"/>
      <c r="TWZ77" s="139"/>
      <c r="TXA77" s="139"/>
      <c r="TXB77" s="139"/>
      <c r="TXC77" s="139"/>
      <c r="TXD77" s="139"/>
      <c r="TXE77" s="139"/>
      <c r="TXF77" s="139"/>
      <c r="TXG77" s="139"/>
      <c r="TXH77" s="139"/>
      <c r="TXI77" s="139"/>
      <c r="TXJ77" s="139"/>
      <c r="TXK77" s="139"/>
      <c r="TXL77" s="139"/>
      <c r="TXM77" s="139"/>
      <c r="TXN77" s="139"/>
      <c r="TXO77" s="139"/>
      <c r="TXP77" s="139"/>
      <c r="TXQ77" s="139"/>
      <c r="TXR77" s="139"/>
      <c r="TXS77" s="139"/>
      <c r="TXT77" s="139"/>
      <c r="TXU77" s="139"/>
      <c r="TXV77" s="139"/>
      <c r="TXW77" s="139"/>
      <c r="TXX77" s="139"/>
      <c r="TXY77" s="139"/>
      <c r="TXZ77" s="139"/>
      <c r="TYA77" s="139"/>
      <c r="TYB77" s="139"/>
      <c r="TYC77" s="139"/>
      <c r="TYD77" s="139"/>
      <c r="TYE77" s="139"/>
      <c r="TYF77" s="139"/>
      <c r="TYG77" s="139"/>
      <c r="TYH77" s="139"/>
      <c r="TYI77" s="139"/>
      <c r="TYJ77" s="139"/>
      <c r="TYK77" s="139"/>
      <c r="TYL77" s="139"/>
      <c r="TYM77" s="139"/>
      <c r="TYN77" s="139"/>
      <c r="TYO77" s="139"/>
      <c r="TYP77" s="139"/>
      <c r="TYQ77" s="139"/>
      <c r="TYR77" s="139"/>
      <c r="TYS77" s="139"/>
      <c r="TYT77" s="139"/>
      <c r="TYU77" s="139"/>
      <c r="TYV77" s="139"/>
      <c r="TYW77" s="139"/>
      <c r="TYX77" s="139"/>
      <c r="TYY77" s="139"/>
      <c r="TYZ77" s="139"/>
      <c r="TZA77" s="139"/>
      <c r="TZB77" s="139"/>
      <c r="TZC77" s="139"/>
      <c r="TZD77" s="139"/>
      <c r="TZE77" s="139"/>
      <c r="TZF77" s="139"/>
      <c r="TZG77" s="139"/>
      <c r="TZH77" s="139"/>
      <c r="TZI77" s="139"/>
      <c r="TZJ77" s="139"/>
      <c r="TZK77" s="139"/>
      <c r="TZL77" s="139"/>
      <c r="TZM77" s="139"/>
      <c r="TZN77" s="139"/>
      <c r="TZO77" s="139"/>
      <c r="TZP77" s="139"/>
      <c r="TZQ77" s="139"/>
      <c r="TZR77" s="139"/>
      <c r="TZS77" s="139"/>
      <c r="TZT77" s="139"/>
      <c r="TZU77" s="139"/>
      <c r="TZV77" s="139"/>
      <c r="TZW77" s="139"/>
      <c r="TZX77" s="139"/>
      <c r="TZY77" s="139"/>
      <c r="TZZ77" s="139"/>
      <c r="UAA77" s="139"/>
      <c r="UAB77" s="139"/>
      <c r="UAC77" s="139"/>
      <c r="UAD77" s="139"/>
      <c r="UAE77" s="139"/>
      <c r="UAF77" s="139"/>
      <c r="UAG77" s="139"/>
      <c r="UAH77" s="139"/>
      <c r="UAI77" s="139"/>
      <c r="UAJ77" s="139"/>
      <c r="UAK77" s="139"/>
      <c r="UAL77" s="139"/>
      <c r="UAM77" s="139"/>
      <c r="UAN77" s="139"/>
      <c r="UAO77" s="139"/>
      <c r="UAP77" s="139"/>
      <c r="UAQ77" s="139"/>
      <c r="UAR77" s="139"/>
      <c r="UAS77" s="139"/>
      <c r="UAT77" s="139"/>
      <c r="UAU77" s="139"/>
      <c r="UAV77" s="139"/>
      <c r="UAW77" s="139"/>
      <c r="UAX77" s="139"/>
      <c r="UAY77" s="139"/>
      <c r="UAZ77" s="139"/>
      <c r="UBA77" s="139"/>
      <c r="UBB77" s="139"/>
      <c r="UBC77" s="139"/>
      <c r="UBD77" s="139"/>
      <c r="UBE77" s="139"/>
      <c r="UBF77" s="139"/>
      <c r="UBG77" s="139"/>
      <c r="UBH77" s="139"/>
      <c r="UBI77" s="139"/>
      <c r="UBJ77" s="139"/>
      <c r="UBK77" s="139"/>
      <c r="UBL77" s="139"/>
      <c r="UBM77" s="139"/>
      <c r="UBN77" s="139"/>
      <c r="UBO77" s="139"/>
      <c r="UBP77" s="139"/>
      <c r="UBQ77" s="139"/>
      <c r="UBR77" s="139"/>
      <c r="UBS77" s="139"/>
      <c r="UBT77" s="139"/>
      <c r="UBU77" s="139"/>
      <c r="UBV77" s="139"/>
      <c r="UBW77" s="139"/>
      <c r="UBX77" s="139"/>
      <c r="UBY77" s="139"/>
      <c r="UBZ77" s="139"/>
      <c r="UCA77" s="139"/>
      <c r="UCB77" s="139"/>
      <c r="UCC77" s="139"/>
      <c r="UCD77" s="139"/>
      <c r="UCE77" s="139"/>
      <c r="UCF77" s="139"/>
      <c r="UCG77" s="139"/>
      <c r="UCH77" s="139"/>
      <c r="UCI77" s="139"/>
      <c r="UCJ77" s="139"/>
      <c r="UCK77" s="139"/>
      <c r="UCL77" s="139"/>
      <c r="UCM77" s="139"/>
      <c r="UCN77" s="139"/>
      <c r="UCO77" s="139"/>
      <c r="UCP77" s="139"/>
      <c r="UCQ77" s="139"/>
      <c r="UCR77" s="139"/>
      <c r="UCS77" s="139"/>
      <c r="UCT77" s="139"/>
      <c r="UCU77" s="139"/>
      <c r="UCV77" s="139"/>
      <c r="UCW77" s="139"/>
      <c r="UCX77" s="139"/>
      <c r="UCY77" s="139"/>
      <c r="UCZ77" s="139"/>
      <c r="UDA77" s="139"/>
      <c r="UDB77" s="139"/>
      <c r="UDC77" s="139"/>
      <c r="UDD77" s="139"/>
      <c r="UDE77" s="139"/>
      <c r="UDF77" s="139"/>
      <c r="UDG77" s="139"/>
      <c r="UDH77" s="139"/>
      <c r="UDI77" s="139"/>
      <c r="UDJ77" s="139"/>
      <c r="UDK77" s="139"/>
      <c r="UDL77" s="139"/>
      <c r="UDM77" s="139"/>
      <c r="UDN77" s="139"/>
      <c r="UDO77" s="139"/>
      <c r="UDP77" s="139"/>
      <c r="UDQ77" s="139"/>
      <c r="UDR77" s="139"/>
      <c r="UDS77" s="139"/>
      <c r="UDT77" s="139"/>
      <c r="UDU77" s="139"/>
      <c r="UDV77" s="139"/>
      <c r="UDW77" s="139"/>
      <c r="UDX77" s="139"/>
      <c r="UDY77" s="139"/>
      <c r="UDZ77" s="139"/>
      <c r="UEA77" s="139"/>
      <c r="UEB77" s="139"/>
      <c r="UEC77" s="139"/>
      <c r="UED77" s="139"/>
      <c r="UEE77" s="139"/>
      <c r="UEF77" s="139"/>
      <c r="UEG77" s="139"/>
      <c r="UEH77" s="139"/>
      <c r="UEI77" s="139"/>
      <c r="UEJ77" s="139"/>
      <c r="UEK77" s="139"/>
      <c r="UEL77" s="139"/>
      <c r="UEM77" s="139"/>
      <c r="UEN77" s="139"/>
      <c r="UEO77" s="139"/>
      <c r="UEP77" s="139"/>
      <c r="UEQ77" s="139"/>
      <c r="UER77" s="139"/>
      <c r="UES77" s="139"/>
      <c r="UET77" s="139"/>
      <c r="UEU77" s="139"/>
      <c r="UEV77" s="139"/>
      <c r="UEW77" s="139"/>
      <c r="UEX77" s="139"/>
      <c r="UEY77" s="139"/>
      <c r="UEZ77" s="139"/>
      <c r="UFA77" s="139"/>
      <c r="UFB77" s="139"/>
      <c r="UFC77" s="139"/>
      <c r="UFD77" s="139"/>
      <c r="UFE77" s="139"/>
      <c r="UFF77" s="139"/>
      <c r="UFG77" s="139"/>
      <c r="UFH77" s="139"/>
      <c r="UFI77" s="139"/>
      <c r="UFJ77" s="139"/>
      <c r="UFK77" s="139"/>
      <c r="UFL77" s="139"/>
      <c r="UFM77" s="139"/>
      <c r="UFN77" s="139"/>
      <c r="UFO77" s="139"/>
      <c r="UFP77" s="139"/>
      <c r="UFQ77" s="139"/>
      <c r="UFR77" s="139"/>
      <c r="UFS77" s="139"/>
      <c r="UFT77" s="139"/>
      <c r="UFU77" s="139"/>
      <c r="UFV77" s="139"/>
      <c r="UFW77" s="139"/>
      <c r="UFX77" s="139"/>
      <c r="UFY77" s="139"/>
      <c r="UFZ77" s="139"/>
      <c r="UGA77" s="139"/>
      <c r="UGB77" s="139"/>
      <c r="UGC77" s="139"/>
      <c r="UGD77" s="139"/>
      <c r="UGE77" s="139"/>
      <c r="UGF77" s="139"/>
      <c r="UGG77" s="139"/>
      <c r="UGH77" s="139"/>
      <c r="UGI77" s="139"/>
      <c r="UGJ77" s="139"/>
      <c r="UGK77" s="139"/>
      <c r="UGL77" s="139"/>
      <c r="UGM77" s="139"/>
      <c r="UGN77" s="139"/>
      <c r="UGO77" s="139"/>
      <c r="UGP77" s="139"/>
      <c r="UGQ77" s="139"/>
      <c r="UGR77" s="139"/>
      <c r="UGS77" s="139"/>
      <c r="UGT77" s="139"/>
      <c r="UGU77" s="139"/>
      <c r="UGV77" s="139"/>
      <c r="UGW77" s="139"/>
      <c r="UGX77" s="139"/>
      <c r="UGY77" s="139"/>
      <c r="UGZ77" s="139"/>
      <c r="UHA77" s="139"/>
      <c r="UHB77" s="139"/>
      <c r="UHC77" s="139"/>
      <c r="UHD77" s="139"/>
      <c r="UHE77" s="139"/>
      <c r="UHF77" s="139"/>
      <c r="UHG77" s="139"/>
      <c r="UHH77" s="139"/>
      <c r="UHI77" s="139"/>
      <c r="UHJ77" s="139"/>
      <c r="UHK77" s="139"/>
      <c r="UHL77" s="139"/>
      <c r="UHM77" s="139"/>
      <c r="UHN77" s="139"/>
      <c r="UHO77" s="139"/>
      <c r="UHP77" s="139"/>
      <c r="UHQ77" s="139"/>
      <c r="UHR77" s="139"/>
      <c r="UHS77" s="139"/>
      <c r="UHT77" s="139"/>
      <c r="UHU77" s="139"/>
      <c r="UHV77" s="139"/>
      <c r="UHW77" s="139"/>
      <c r="UHX77" s="139"/>
      <c r="UHY77" s="139"/>
      <c r="UHZ77" s="139"/>
      <c r="UIA77" s="139"/>
      <c r="UIB77" s="139"/>
      <c r="UIC77" s="139"/>
      <c r="UID77" s="139"/>
      <c r="UIE77" s="139"/>
      <c r="UIF77" s="139"/>
      <c r="UIG77" s="139"/>
      <c r="UIH77" s="139"/>
      <c r="UII77" s="139"/>
      <c r="UIJ77" s="139"/>
      <c r="UIK77" s="139"/>
      <c r="UIL77" s="139"/>
      <c r="UIM77" s="139"/>
      <c r="UIN77" s="139"/>
      <c r="UIO77" s="139"/>
      <c r="UIP77" s="139"/>
      <c r="UIQ77" s="139"/>
      <c r="UIR77" s="139"/>
      <c r="UIS77" s="139"/>
      <c r="UIT77" s="139"/>
      <c r="UIU77" s="139"/>
      <c r="UIV77" s="139"/>
      <c r="UIW77" s="139"/>
      <c r="UIX77" s="139"/>
      <c r="UIY77" s="139"/>
      <c r="UIZ77" s="139"/>
      <c r="UJA77" s="139"/>
      <c r="UJB77" s="139"/>
      <c r="UJC77" s="139"/>
      <c r="UJD77" s="139"/>
      <c r="UJE77" s="139"/>
      <c r="UJF77" s="139"/>
      <c r="UJG77" s="139"/>
      <c r="UJH77" s="139"/>
      <c r="UJI77" s="139"/>
      <c r="UJJ77" s="139"/>
      <c r="UJK77" s="139"/>
      <c r="UJL77" s="139"/>
      <c r="UJM77" s="139"/>
      <c r="UJN77" s="139"/>
      <c r="UJO77" s="139"/>
      <c r="UJP77" s="139"/>
      <c r="UJQ77" s="139"/>
      <c r="UJR77" s="139"/>
      <c r="UJS77" s="139"/>
      <c r="UJT77" s="139"/>
      <c r="UJU77" s="139"/>
      <c r="UJV77" s="139"/>
      <c r="UJW77" s="139"/>
      <c r="UJX77" s="139"/>
      <c r="UJY77" s="139"/>
      <c r="UJZ77" s="139"/>
      <c r="UKA77" s="139"/>
      <c r="UKB77" s="139"/>
      <c r="UKC77" s="139"/>
      <c r="UKD77" s="139"/>
      <c r="UKE77" s="139"/>
      <c r="UKF77" s="139"/>
      <c r="UKG77" s="139"/>
      <c r="UKH77" s="139"/>
      <c r="UKI77" s="139"/>
      <c r="UKJ77" s="139"/>
      <c r="UKK77" s="139"/>
      <c r="UKL77" s="139"/>
      <c r="UKM77" s="139"/>
      <c r="UKN77" s="139"/>
      <c r="UKO77" s="139"/>
      <c r="UKP77" s="139"/>
      <c r="UKQ77" s="139"/>
      <c r="UKR77" s="139"/>
      <c r="UKS77" s="139"/>
      <c r="UKT77" s="139"/>
      <c r="UKU77" s="139"/>
      <c r="UKV77" s="139"/>
      <c r="UKW77" s="139"/>
      <c r="UKX77" s="139"/>
      <c r="UKY77" s="139"/>
      <c r="UKZ77" s="139"/>
      <c r="ULA77" s="139"/>
      <c r="ULB77" s="139"/>
      <c r="ULC77" s="139"/>
      <c r="ULD77" s="139"/>
      <c r="ULE77" s="139"/>
      <c r="ULF77" s="139"/>
      <c r="ULG77" s="139"/>
      <c r="ULH77" s="139"/>
      <c r="ULI77" s="139"/>
      <c r="ULJ77" s="139"/>
      <c r="ULK77" s="139"/>
      <c r="ULL77" s="139"/>
      <c r="ULM77" s="139"/>
      <c r="ULN77" s="139"/>
      <c r="ULO77" s="139"/>
      <c r="ULP77" s="139"/>
      <c r="ULQ77" s="139"/>
      <c r="ULR77" s="139"/>
      <c r="ULS77" s="139"/>
      <c r="ULT77" s="139"/>
      <c r="ULU77" s="139"/>
      <c r="ULV77" s="139"/>
      <c r="ULW77" s="139"/>
      <c r="ULX77" s="139"/>
      <c r="ULY77" s="139"/>
      <c r="ULZ77" s="139"/>
      <c r="UMA77" s="139"/>
      <c r="UMB77" s="139"/>
      <c r="UMC77" s="139"/>
      <c r="UMD77" s="139"/>
      <c r="UME77" s="139"/>
      <c r="UMF77" s="139"/>
      <c r="UMG77" s="139"/>
      <c r="UMH77" s="139"/>
      <c r="UMI77" s="139"/>
      <c r="UMJ77" s="139"/>
      <c r="UMK77" s="139"/>
      <c r="UML77" s="139"/>
      <c r="UMM77" s="139"/>
      <c r="UMN77" s="139"/>
      <c r="UMO77" s="139"/>
      <c r="UMP77" s="139"/>
      <c r="UMQ77" s="139"/>
      <c r="UMR77" s="139"/>
      <c r="UMS77" s="139"/>
      <c r="UMT77" s="139"/>
      <c r="UMU77" s="139"/>
      <c r="UMV77" s="139"/>
      <c r="UMW77" s="139"/>
      <c r="UMX77" s="139"/>
      <c r="UMY77" s="139"/>
      <c r="UMZ77" s="139"/>
      <c r="UNA77" s="139"/>
      <c r="UNB77" s="139"/>
      <c r="UNC77" s="139"/>
      <c r="UND77" s="139"/>
      <c r="UNE77" s="139"/>
      <c r="UNF77" s="139"/>
      <c r="UNG77" s="139"/>
      <c r="UNH77" s="139"/>
      <c r="UNI77" s="139"/>
      <c r="UNJ77" s="139"/>
      <c r="UNK77" s="139"/>
      <c r="UNL77" s="139"/>
      <c r="UNM77" s="139"/>
      <c r="UNN77" s="139"/>
      <c r="UNO77" s="139"/>
      <c r="UNP77" s="139"/>
      <c r="UNQ77" s="139"/>
      <c r="UNR77" s="139"/>
      <c r="UNS77" s="139"/>
      <c r="UNT77" s="139"/>
      <c r="UNU77" s="139"/>
      <c r="UNV77" s="139"/>
      <c r="UNW77" s="139"/>
      <c r="UNX77" s="139"/>
      <c r="UNY77" s="139"/>
      <c r="UNZ77" s="139"/>
      <c r="UOA77" s="139"/>
      <c r="UOB77" s="139"/>
      <c r="UOC77" s="139"/>
      <c r="UOD77" s="139"/>
      <c r="UOE77" s="139"/>
      <c r="UOF77" s="139"/>
      <c r="UOG77" s="139"/>
      <c r="UOH77" s="139"/>
      <c r="UOI77" s="139"/>
      <c r="UOJ77" s="139"/>
      <c r="UOK77" s="139"/>
      <c r="UOL77" s="139"/>
      <c r="UOM77" s="139"/>
      <c r="UON77" s="139"/>
      <c r="UOO77" s="139"/>
      <c r="UOP77" s="139"/>
      <c r="UOQ77" s="139"/>
      <c r="UOR77" s="139"/>
      <c r="UOS77" s="139"/>
      <c r="UOT77" s="139"/>
      <c r="UOU77" s="139"/>
      <c r="UOV77" s="139"/>
      <c r="UOW77" s="139"/>
      <c r="UOX77" s="139"/>
      <c r="UOY77" s="139"/>
      <c r="UOZ77" s="139"/>
      <c r="UPA77" s="139"/>
      <c r="UPB77" s="139"/>
      <c r="UPC77" s="139"/>
      <c r="UPD77" s="139"/>
      <c r="UPE77" s="139"/>
      <c r="UPF77" s="139"/>
      <c r="UPG77" s="139"/>
      <c r="UPH77" s="139"/>
      <c r="UPI77" s="139"/>
      <c r="UPJ77" s="139"/>
      <c r="UPK77" s="139"/>
      <c r="UPL77" s="139"/>
      <c r="UPM77" s="139"/>
      <c r="UPN77" s="139"/>
      <c r="UPO77" s="139"/>
      <c r="UPP77" s="139"/>
      <c r="UPQ77" s="139"/>
      <c r="UPR77" s="139"/>
      <c r="UPS77" s="139"/>
      <c r="UPT77" s="139"/>
      <c r="UPU77" s="139"/>
      <c r="UPV77" s="139"/>
      <c r="UPW77" s="139"/>
      <c r="UPX77" s="139"/>
      <c r="UPY77" s="139"/>
      <c r="UPZ77" s="139"/>
      <c r="UQA77" s="139"/>
      <c r="UQB77" s="139"/>
      <c r="UQC77" s="139"/>
      <c r="UQD77" s="139"/>
      <c r="UQE77" s="139"/>
      <c r="UQF77" s="139"/>
      <c r="UQG77" s="139"/>
      <c r="UQH77" s="139"/>
      <c r="UQI77" s="139"/>
      <c r="UQJ77" s="139"/>
      <c r="UQK77" s="139"/>
      <c r="UQL77" s="139"/>
      <c r="UQM77" s="139"/>
      <c r="UQN77" s="139"/>
      <c r="UQO77" s="139"/>
      <c r="UQP77" s="139"/>
      <c r="UQQ77" s="139"/>
      <c r="UQR77" s="139"/>
      <c r="UQS77" s="139"/>
      <c r="UQT77" s="139"/>
      <c r="UQU77" s="139"/>
      <c r="UQV77" s="139"/>
      <c r="UQW77" s="139"/>
      <c r="UQX77" s="139"/>
      <c r="UQY77" s="139"/>
      <c r="UQZ77" s="139"/>
      <c r="URA77" s="139"/>
      <c r="URB77" s="139"/>
      <c r="URC77" s="139"/>
      <c r="URD77" s="139"/>
      <c r="URE77" s="139"/>
      <c r="URF77" s="139"/>
      <c r="URG77" s="139"/>
      <c r="URH77" s="139"/>
      <c r="URI77" s="139"/>
      <c r="URJ77" s="139"/>
      <c r="URK77" s="139"/>
      <c r="URL77" s="139"/>
      <c r="URM77" s="139"/>
      <c r="URN77" s="139"/>
      <c r="URO77" s="139"/>
      <c r="URP77" s="139"/>
      <c r="URQ77" s="139"/>
      <c r="URR77" s="139"/>
      <c r="URS77" s="139"/>
      <c r="URT77" s="139"/>
      <c r="URU77" s="139"/>
      <c r="URV77" s="139"/>
      <c r="URW77" s="139"/>
      <c r="URX77" s="139"/>
      <c r="URY77" s="139"/>
      <c r="URZ77" s="139"/>
      <c r="USA77" s="139"/>
      <c r="USB77" s="139"/>
      <c r="USC77" s="139"/>
      <c r="USD77" s="139"/>
      <c r="USE77" s="139"/>
      <c r="USF77" s="139"/>
      <c r="USG77" s="139"/>
      <c r="USH77" s="139"/>
      <c r="USI77" s="139"/>
      <c r="USJ77" s="139"/>
      <c r="USK77" s="139"/>
      <c r="USL77" s="139"/>
      <c r="USM77" s="139"/>
      <c r="USN77" s="139"/>
      <c r="USO77" s="139"/>
      <c r="USP77" s="139"/>
      <c r="USQ77" s="139"/>
      <c r="USR77" s="139"/>
      <c r="USS77" s="139"/>
      <c r="UST77" s="139"/>
      <c r="USU77" s="139"/>
      <c r="USV77" s="139"/>
      <c r="USW77" s="139"/>
      <c r="USX77" s="139"/>
      <c r="USY77" s="139"/>
      <c r="USZ77" s="139"/>
      <c r="UTA77" s="139"/>
      <c r="UTB77" s="139"/>
      <c r="UTC77" s="139"/>
      <c r="UTD77" s="139"/>
      <c r="UTE77" s="139"/>
      <c r="UTF77" s="139"/>
      <c r="UTG77" s="139"/>
      <c r="UTH77" s="139"/>
      <c r="UTI77" s="139"/>
      <c r="UTJ77" s="139"/>
      <c r="UTK77" s="139"/>
      <c r="UTL77" s="139"/>
      <c r="UTM77" s="139"/>
      <c r="UTN77" s="139"/>
      <c r="UTO77" s="139"/>
      <c r="UTP77" s="139"/>
      <c r="UTQ77" s="139"/>
      <c r="UTR77" s="139"/>
      <c r="UTS77" s="139"/>
      <c r="UTT77" s="139"/>
      <c r="UTU77" s="139"/>
      <c r="UTV77" s="139"/>
      <c r="UTW77" s="139"/>
      <c r="UTX77" s="139"/>
      <c r="UTY77" s="139"/>
      <c r="UTZ77" s="139"/>
      <c r="UUA77" s="139"/>
      <c r="UUB77" s="139"/>
      <c r="UUC77" s="139"/>
      <c r="UUD77" s="139"/>
      <c r="UUE77" s="139"/>
      <c r="UUF77" s="139"/>
      <c r="UUG77" s="139"/>
      <c r="UUH77" s="139"/>
      <c r="UUI77" s="139"/>
      <c r="UUJ77" s="139"/>
      <c r="UUK77" s="139"/>
      <c r="UUL77" s="139"/>
      <c r="UUM77" s="139"/>
      <c r="UUN77" s="139"/>
      <c r="UUO77" s="139"/>
      <c r="UUP77" s="139"/>
      <c r="UUQ77" s="139"/>
      <c r="UUR77" s="139"/>
      <c r="UUS77" s="139"/>
      <c r="UUT77" s="139"/>
      <c r="UUU77" s="139"/>
      <c r="UUV77" s="139"/>
      <c r="UUW77" s="139"/>
      <c r="UUX77" s="139"/>
      <c r="UUY77" s="139"/>
      <c r="UUZ77" s="139"/>
      <c r="UVA77" s="139"/>
      <c r="UVB77" s="139"/>
      <c r="UVC77" s="139"/>
      <c r="UVD77" s="139"/>
      <c r="UVE77" s="139"/>
      <c r="UVF77" s="139"/>
      <c r="UVG77" s="139"/>
      <c r="UVH77" s="139"/>
      <c r="UVI77" s="139"/>
      <c r="UVJ77" s="139"/>
      <c r="UVK77" s="139"/>
      <c r="UVL77" s="139"/>
      <c r="UVM77" s="139"/>
      <c r="UVN77" s="139"/>
      <c r="UVO77" s="139"/>
      <c r="UVP77" s="139"/>
      <c r="UVQ77" s="139"/>
      <c r="UVR77" s="139"/>
      <c r="UVS77" s="139"/>
      <c r="UVT77" s="139"/>
      <c r="UVU77" s="139"/>
      <c r="UVV77" s="139"/>
      <c r="UVW77" s="139"/>
      <c r="UVX77" s="139"/>
      <c r="UVY77" s="139"/>
      <c r="UVZ77" s="139"/>
      <c r="UWA77" s="139"/>
      <c r="UWB77" s="139"/>
      <c r="UWC77" s="139"/>
      <c r="UWD77" s="139"/>
      <c r="UWE77" s="139"/>
      <c r="UWF77" s="139"/>
      <c r="UWG77" s="139"/>
      <c r="UWH77" s="139"/>
      <c r="UWI77" s="139"/>
      <c r="UWJ77" s="139"/>
      <c r="UWK77" s="139"/>
      <c r="UWL77" s="139"/>
      <c r="UWM77" s="139"/>
      <c r="UWN77" s="139"/>
      <c r="UWO77" s="139"/>
      <c r="UWP77" s="139"/>
      <c r="UWQ77" s="139"/>
      <c r="UWR77" s="139"/>
      <c r="UWS77" s="139"/>
      <c r="UWT77" s="139"/>
      <c r="UWU77" s="139"/>
      <c r="UWV77" s="139"/>
      <c r="UWW77" s="139"/>
      <c r="UWX77" s="139"/>
      <c r="UWY77" s="139"/>
      <c r="UWZ77" s="139"/>
      <c r="UXA77" s="139"/>
      <c r="UXB77" s="139"/>
      <c r="UXC77" s="139"/>
      <c r="UXD77" s="139"/>
      <c r="UXE77" s="139"/>
      <c r="UXF77" s="139"/>
      <c r="UXG77" s="139"/>
      <c r="UXH77" s="139"/>
      <c r="UXI77" s="139"/>
      <c r="UXJ77" s="139"/>
      <c r="UXK77" s="139"/>
      <c r="UXL77" s="139"/>
      <c r="UXM77" s="139"/>
      <c r="UXN77" s="139"/>
      <c r="UXO77" s="139"/>
      <c r="UXP77" s="139"/>
      <c r="UXQ77" s="139"/>
      <c r="UXR77" s="139"/>
      <c r="UXS77" s="139"/>
      <c r="UXT77" s="139"/>
      <c r="UXU77" s="139"/>
      <c r="UXV77" s="139"/>
      <c r="UXW77" s="139"/>
      <c r="UXX77" s="139"/>
      <c r="UXY77" s="139"/>
      <c r="UXZ77" s="139"/>
      <c r="UYA77" s="139"/>
      <c r="UYB77" s="139"/>
      <c r="UYC77" s="139"/>
      <c r="UYD77" s="139"/>
      <c r="UYE77" s="139"/>
      <c r="UYF77" s="139"/>
      <c r="UYG77" s="139"/>
      <c r="UYH77" s="139"/>
      <c r="UYI77" s="139"/>
      <c r="UYJ77" s="139"/>
      <c r="UYK77" s="139"/>
      <c r="UYL77" s="139"/>
      <c r="UYM77" s="139"/>
      <c r="UYN77" s="139"/>
      <c r="UYO77" s="139"/>
      <c r="UYP77" s="139"/>
      <c r="UYQ77" s="139"/>
      <c r="UYR77" s="139"/>
      <c r="UYS77" s="139"/>
      <c r="UYT77" s="139"/>
      <c r="UYU77" s="139"/>
      <c r="UYV77" s="139"/>
      <c r="UYW77" s="139"/>
      <c r="UYX77" s="139"/>
      <c r="UYY77" s="139"/>
      <c r="UYZ77" s="139"/>
      <c r="UZA77" s="139"/>
      <c r="UZB77" s="139"/>
      <c r="UZC77" s="139"/>
      <c r="UZD77" s="139"/>
      <c r="UZE77" s="139"/>
      <c r="UZF77" s="139"/>
      <c r="UZG77" s="139"/>
      <c r="UZH77" s="139"/>
      <c r="UZI77" s="139"/>
      <c r="UZJ77" s="139"/>
      <c r="UZK77" s="139"/>
      <c r="UZL77" s="139"/>
      <c r="UZM77" s="139"/>
      <c r="UZN77" s="139"/>
      <c r="UZO77" s="139"/>
      <c r="UZP77" s="139"/>
      <c r="UZQ77" s="139"/>
      <c r="UZR77" s="139"/>
      <c r="UZS77" s="139"/>
      <c r="UZT77" s="139"/>
      <c r="UZU77" s="139"/>
      <c r="UZV77" s="139"/>
      <c r="UZW77" s="139"/>
      <c r="UZX77" s="139"/>
      <c r="UZY77" s="139"/>
      <c r="UZZ77" s="139"/>
      <c r="VAA77" s="139"/>
      <c r="VAB77" s="139"/>
      <c r="VAC77" s="139"/>
      <c r="VAD77" s="139"/>
      <c r="VAE77" s="139"/>
      <c r="VAF77" s="139"/>
      <c r="VAG77" s="139"/>
      <c r="VAH77" s="139"/>
      <c r="VAI77" s="139"/>
      <c r="VAJ77" s="139"/>
      <c r="VAK77" s="139"/>
      <c r="VAL77" s="139"/>
      <c r="VAM77" s="139"/>
      <c r="VAN77" s="139"/>
      <c r="VAO77" s="139"/>
      <c r="VAP77" s="139"/>
      <c r="VAQ77" s="139"/>
      <c r="VAR77" s="139"/>
      <c r="VAS77" s="139"/>
      <c r="VAT77" s="139"/>
      <c r="VAU77" s="139"/>
      <c r="VAV77" s="139"/>
      <c r="VAW77" s="139"/>
      <c r="VAX77" s="139"/>
      <c r="VAY77" s="139"/>
      <c r="VAZ77" s="139"/>
      <c r="VBA77" s="139"/>
      <c r="VBB77" s="139"/>
      <c r="VBC77" s="139"/>
      <c r="VBD77" s="139"/>
      <c r="VBE77" s="139"/>
      <c r="VBF77" s="139"/>
      <c r="VBG77" s="139"/>
      <c r="VBH77" s="139"/>
      <c r="VBI77" s="139"/>
      <c r="VBJ77" s="139"/>
      <c r="VBK77" s="139"/>
      <c r="VBL77" s="139"/>
      <c r="VBM77" s="139"/>
      <c r="VBN77" s="139"/>
      <c r="VBO77" s="139"/>
      <c r="VBP77" s="139"/>
      <c r="VBQ77" s="139"/>
      <c r="VBR77" s="139"/>
      <c r="VBS77" s="139"/>
      <c r="VBT77" s="139"/>
      <c r="VBU77" s="139"/>
      <c r="VBV77" s="139"/>
      <c r="VBW77" s="139"/>
      <c r="VBX77" s="139"/>
      <c r="VBY77" s="139"/>
      <c r="VBZ77" s="139"/>
      <c r="VCA77" s="139"/>
      <c r="VCB77" s="139"/>
      <c r="VCC77" s="139"/>
      <c r="VCD77" s="139"/>
      <c r="VCE77" s="139"/>
      <c r="VCF77" s="139"/>
      <c r="VCG77" s="139"/>
      <c r="VCH77" s="139"/>
      <c r="VCI77" s="139"/>
      <c r="VCJ77" s="139"/>
      <c r="VCK77" s="139"/>
      <c r="VCL77" s="139"/>
      <c r="VCM77" s="139"/>
      <c r="VCN77" s="139"/>
      <c r="VCO77" s="139"/>
      <c r="VCP77" s="139"/>
      <c r="VCQ77" s="139"/>
      <c r="VCR77" s="139"/>
      <c r="VCS77" s="139"/>
      <c r="VCT77" s="139"/>
      <c r="VCU77" s="139"/>
      <c r="VCV77" s="139"/>
      <c r="VCW77" s="139"/>
      <c r="VCX77" s="139"/>
      <c r="VCY77" s="139"/>
      <c r="VCZ77" s="139"/>
      <c r="VDA77" s="139"/>
      <c r="VDB77" s="139"/>
      <c r="VDC77" s="139"/>
      <c r="VDD77" s="139"/>
      <c r="VDE77" s="139"/>
      <c r="VDF77" s="139"/>
      <c r="VDG77" s="139"/>
      <c r="VDH77" s="139"/>
      <c r="VDI77" s="139"/>
      <c r="VDJ77" s="139"/>
      <c r="VDK77" s="139"/>
      <c r="VDL77" s="139"/>
      <c r="VDM77" s="139"/>
      <c r="VDN77" s="139"/>
      <c r="VDO77" s="139"/>
      <c r="VDP77" s="139"/>
      <c r="VDQ77" s="139"/>
      <c r="VDR77" s="139"/>
      <c r="VDS77" s="139"/>
      <c r="VDT77" s="139"/>
      <c r="VDU77" s="139"/>
      <c r="VDV77" s="139"/>
      <c r="VDW77" s="139"/>
      <c r="VDX77" s="139"/>
      <c r="VDY77" s="139"/>
      <c r="VDZ77" s="139"/>
      <c r="VEA77" s="139"/>
      <c r="VEB77" s="139"/>
      <c r="VEC77" s="139"/>
      <c r="VED77" s="139"/>
      <c r="VEE77" s="139"/>
      <c r="VEF77" s="139"/>
      <c r="VEG77" s="139"/>
      <c r="VEH77" s="139"/>
      <c r="VEI77" s="139"/>
      <c r="VEJ77" s="139"/>
      <c r="VEK77" s="139"/>
      <c r="VEL77" s="139"/>
      <c r="VEM77" s="139"/>
      <c r="VEN77" s="139"/>
      <c r="VEO77" s="139"/>
      <c r="VEP77" s="139"/>
      <c r="VEQ77" s="139"/>
      <c r="VER77" s="139"/>
      <c r="VES77" s="139"/>
      <c r="VET77" s="139"/>
      <c r="VEU77" s="139"/>
      <c r="VEV77" s="139"/>
      <c r="VEW77" s="139"/>
      <c r="VEX77" s="139"/>
      <c r="VEY77" s="139"/>
      <c r="VEZ77" s="139"/>
      <c r="VFA77" s="139"/>
      <c r="VFB77" s="139"/>
      <c r="VFC77" s="139"/>
      <c r="VFD77" s="139"/>
      <c r="VFE77" s="139"/>
      <c r="VFF77" s="139"/>
      <c r="VFG77" s="139"/>
      <c r="VFH77" s="139"/>
      <c r="VFI77" s="139"/>
      <c r="VFJ77" s="139"/>
      <c r="VFK77" s="139"/>
      <c r="VFL77" s="139"/>
      <c r="VFM77" s="139"/>
      <c r="VFN77" s="139"/>
      <c r="VFO77" s="139"/>
      <c r="VFP77" s="139"/>
      <c r="VFQ77" s="139"/>
      <c r="VFR77" s="139"/>
      <c r="VFS77" s="139"/>
      <c r="VFT77" s="139"/>
      <c r="VFU77" s="139"/>
      <c r="VFV77" s="139"/>
      <c r="VFW77" s="139"/>
      <c r="VFX77" s="139"/>
      <c r="VFY77" s="139"/>
      <c r="VFZ77" s="139"/>
      <c r="VGA77" s="139"/>
      <c r="VGB77" s="139"/>
      <c r="VGC77" s="139"/>
      <c r="VGD77" s="139"/>
      <c r="VGE77" s="139"/>
      <c r="VGF77" s="139"/>
      <c r="VGG77" s="139"/>
      <c r="VGH77" s="139"/>
      <c r="VGI77" s="139"/>
      <c r="VGJ77" s="139"/>
      <c r="VGK77" s="139"/>
      <c r="VGL77" s="139"/>
      <c r="VGM77" s="139"/>
      <c r="VGN77" s="139"/>
      <c r="VGO77" s="139"/>
      <c r="VGP77" s="139"/>
      <c r="VGQ77" s="139"/>
      <c r="VGR77" s="139"/>
      <c r="VGS77" s="139"/>
      <c r="VGT77" s="139"/>
      <c r="VGU77" s="139"/>
      <c r="VGV77" s="139"/>
      <c r="VGW77" s="139"/>
      <c r="VGX77" s="139"/>
      <c r="VGY77" s="139"/>
      <c r="VGZ77" s="139"/>
      <c r="VHA77" s="139"/>
      <c r="VHB77" s="139"/>
      <c r="VHC77" s="139"/>
      <c r="VHD77" s="139"/>
      <c r="VHE77" s="139"/>
      <c r="VHF77" s="139"/>
      <c r="VHG77" s="139"/>
      <c r="VHH77" s="139"/>
      <c r="VHI77" s="139"/>
      <c r="VHJ77" s="139"/>
      <c r="VHK77" s="139"/>
      <c r="VHL77" s="139"/>
      <c r="VHM77" s="139"/>
      <c r="VHN77" s="139"/>
      <c r="VHO77" s="139"/>
      <c r="VHP77" s="139"/>
      <c r="VHQ77" s="139"/>
      <c r="VHR77" s="139"/>
      <c r="VHS77" s="139"/>
      <c r="VHT77" s="139"/>
      <c r="VHU77" s="139"/>
      <c r="VHV77" s="139"/>
      <c r="VHW77" s="139"/>
      <c r="VHX77" s="139"/>
      <c r="VHY77" s="139"/>
      <c r="VHZ77" s="139"/>
      <c r="VIA77" s="139"/>
      <c r="VIB77" s="139"/>
      <c r="VIC77" s="139"/>
      <c r="VID77" s="139"/>
      <c r="VIE77" s="139"/>
      <c r="VIF77" s="139"/>
      <c r="VIG77" s="139"/>
      <c r="VIH77" s="139"/>
      <c r="VII77" s="139"/>
      <c r="VIJ77" s="139"/>
      <c r="VIK77" s="139"/>
      <c r="VIL77" s="139"/>
      <c r="VIM77" s="139"/>
      <c r="VIN77" s="139"/>
      <c r="VIO77" s="139"/>
      <c r="VIP77" s="139"/>
      <c r="VIQ77" s="139"/>
      <c r="VIR77" s="139"/>
      <c r="VIS77" s="139"/>
      <c r="VIT77" s="139"/>
      <c r="VIU77" s="139"/>
      <c r="VIV77" s="139"/>
      <c r="VIW77" s="139"/>
      <c r="VIX77" s="139"/>
      <c r="VIY77" s="139"/>
      <c r="VIZ77" s="139"/>
      <c r="VJA77" s="139"/>
      <c r="VJB77" s="139"/>
      <c r="VJC77" s="139"/>
      <c r="VJD77" s="139"/>
      <c r="VJE77" s="139"/>
      <c r="VJF77" s="139"/>
      <c r="VJG77" s="139"/>
      <c r="VJH77" s="139"/>
      <c r="VJI77" s="139"/>
      <c r="VJJ77" s="139"/>
      <c r="VJK77" s="139"/>
      <c r="VJL77" s="139"/>
      <c r="VJM77" s="139"/>
      <c r="VJN77" s="139"/>
      <c r="VJO77" s="139"/>
      <c r="VJP77" s="139"/>
      <c r="VJQ77" s="139"/>
      <c r="VJR77" s="139"/>
      <c r="VJS77" s="139"/>
      <c r="VJT77" s="139"/>
      <c r="VJU77" s="139"/>
      <c r="VJV77" s="139"/>
      <c r="VJW77" s="139"/>
      <c r="VJX77" s="139"/>
      <c r="VJY77" s="139"/>
      <c r="VJZ77" s="139"/>
      <c r="VKA77" s="139"/>
      <c r="VKB77" s="139"/>
      <c r="VKC77" s="139"/>
      <c r="VKD77" s="139"/>
      <c r="VKE77" s="139"/>
      <c r="VKF77" s="139"/>
      <c r="VKG77" s="139"/>
      <c r="VKH77" s="139"/>
      <c r="VKI77" s="139"/>
      <c r="VKJ77" s="139"/>
      <c r="VKK77" s="139"/>
      <c r="VKL77" s="139"/>
      <c r="VKM77" s="139"/>
      <c r="VKN77" s="139"/>
      <c r="VKO77" s="139"/>
      <c r="VKP77" s="139"/>
      <c r="VKQ77" s="139"/>
      <c r="VKR77" s="139"/>
      <c r="VKS77" s="139"/>
      <c r="VKT77" s="139"/>
      <c r="VKU77" s="139"/>
      <c r="VKV77" s="139"/>
      <c r="VKW77" s="139"/>
      <c r="VKX77" s="139"/>
      <c r="VKY77" s="139"/>
      <c r="VKZ77" s="139"/>
      <c r="VLA77" s="139"/>
      <c r="VLB77" s="139"/>
      <c r="VLC77" s="139"/>
      <c r="VLD77" s="139"/>
      <c r="VLE77" s="139"/>
      <c r="VLF77" s="139"/>
      <c r="VLG77" s="139"/>
      <c r="VLH77" s="139"/>
      <c r="VLI77" s="139"/>
      <c r="VLJ77" s="139"/>
      <c r="VLK77" s="139"/>
      <c r="VLL77" s="139"/>
      <c r="VLM77" s="139"/>
      <c r="VLN77" s="139"/>
      <c r="VLO77" s="139"/>
      <c r="VLP77" s="139"/>
      <c r="VLQ77" s="139"/>
      <c r="VLR77" s="139"/>
      <c r="VLS77" s="139"/>
      <c r="VLT77" s="139"/>
      <c r="VLU77" s="139"/>
      <c r="VLV77" s="139"/>
      <c r="VLW77" s="139"/>
      <c r="VLX77" s="139"/>
      <c r="VLY77" s="139"/>
      <c r="VLZ77" s="139"/>
      <c r="VMA77" s="139"/>
      <c r="VMB77" s="139"/>
      <c r="VMC77" s="139"/>
      <c r="VMD77" s="139"/>
      <c r="VME77" s="139"/>
      <c r="VMF77" s="139"/>
      <c r="VMG77" s="139"/>
      <c r="VMH77" s="139"/>
      <c r="VMI77" s="139"/>
      <c r="VMJ77" s="139"/>
      <c r="VMK77" s="139"/>
      <c r="VML77" s="139"/>
      <c r="VMM77" s="139"/>
      <c r="VMN77" s="139"/>
      <c r="VMO77" s="139"/>
      <c r="VMP77" s="139"/>
      <c r="VMQ77" s="139"/>
      <c r="VMR77" s="139"/>
      <c r="VMS77" s="139"/>
      <c r="VMT77" s="139"/>
      <c r="VMU77" s="139"/>
      <c r="VMV77" s="139"/>
      <c r="VMW77" s="139"/>
      <c r="VMX77" s="139"/>
      <c r="VMY77" s="139"/>
      <c r="VMZ77" s="139"/>
      <c r="VNA77" s="139"/>
      <c r="VNB77" s="139"/>
      <c r="VNC77" s="139"/>
      <c r="VND77" s="139"/>
      <c r="VNE77" s="139"/>
      <c r="VNF77" s="139"/>
      <c r="VNG77" s="139"/>
      <c r="VNH77" s="139"/>
      <c r="VNI77" s="139"/>
      <c r="VNJ77" s="139"/>
      <c r="VNK77" s="139"/>
      <c r="VNL77" s="139"/>
      <c r="VNM77" s="139"/>
      <c r="VNN77" s="139"/>
      <c r="VNO77" s="139"/>
      <c r="VNP77" s="139"/>
      <c r="VNQ77" s="139"/>
      <c r="VNR77" s="139"/>
      <c r="VNS77" s="139"/>
      <c r="VNT77" s="139"/>
      <c r="VNU77" s="139"/>
      <c r="VNV77" s="139"/>
      <c r="VNW77" s="139"/>
      <c r="VNX77" s="139"/>
      <c r="VNY77" s="139"/>
      <c r="VNZ77" s="139"/>
      <c r="VOA77" s="139"/>
      <c r="VOB77" s="139"/>
      <c r="VOC77" s="139"/>
      <c r="VOD77" s="139"/>
      <c r="VOE77" s="139"/>
      <c r="VOF77" s="139"/>
      <c r="VOG77" s="139"/>
      <c r="VOH77" s="139"/>
      <c r="VOI77" s="139"/>
      <c r="VOJ77" s="139"/>
      <c r="VOK77" s="139"/>
      <c r="VOL77" s="139"/>
      <c r="VOM77" s="139"/>
      <c r="VON77" s="139"/>
      <c r="VOO77" s="139"/>
      <c r="VOP77" s="139"/>
      <c r="VOQ77" s="139"/>
      <c r="VOR77" s="139"/>
      <c r="VOS77" s="139"/>
      <c r="VOT77" s="139"/>
      <c r="VOU77" s="139"/>
      <c r="VOV77" s="139"/>
      <c r="VOW77" s="139"/>
      <c r="VOX77" s="139"/>
      <c r="VOY77" s="139"/>
      <c r="VOZ77" s="139"/>
      <c r="VPA77" s="139"/>
      <c r="VPB77" s="139"/>
      <c r="VPC77" s="139"/>
      <c r="VPD77" s="139"/>
      <c r="VPE77" s="139"/>
      <c r="VPF77" s="139"/>
      <c r="VPG77" s="139"/>
      <c r="VPH77" s="139"/>
      <c r="VPI77" s="139"/>
      <c r="VPJ77" s="139"/>
      <c r="VPK77" s="139"/>
      <c r="VPL77" s="139"/>
      <c r="VPM77" s="139"/>
      <c r="VPN77" s="139"/>
      <c r="VPO77" s="139"/>
      <c r="VPP77" s="139"/>
      <c r="VPQ77" s="139"/>
      <c r="VPR77" s="139"/>
      <c r="VPS77" s="139"/>
      <c r="VPT77" s="139"/>
      <c r="VPU77" s="139"/>
      <c r="VPV77" s="139"/>
      <c r="VPW77" s="139"/>
      <c r="VPX77" s="139"/>
      <c r="VPY77" s="139"/>
      <c r="VPZ77" s="139"/>
      <c r="VQA77" s="139"/>
      <c r="VQB77" s="139"/>
      <c r="VQC77" s="139"/>
      <c r="VQD77" s="139"/>
      <c r="VQE77" s="139"/>
      <c r="VQF77" s="139"/>
      <c r="VQG77" s="139"/>
      <c r="VQH77" s="139"/>
      <c r="VQI77" s="139"/>
      <c r="VQJ77" s="139"/>
      <c r="VQK77" s="139"/>
      <c r="VQL77" s="139"/>
      <c r="VQM77" s="139"/>
      <c r="VQN77" s="139"/>
      <c r="VQO77" s="139"/>
      <c r="VQP77" s="139"/>
      <c r="VQQ77" s="139"/>
      <c r="VQR77" s="139"/>
      <c r="VQS77" s="139"/>
      <c r="VQT77" s="139"/>
      <c r="VQU77" s="139"/>
      <c r="VQV77" s="139"/>
      <c r="VQW77" s="139"/>
      <c r="VQX77" s="139"/>
      <c r="VQY77" s="139"/>
      <c r="VQZ77" s="139"/>
      <c r="VRA77" s="139"/>
      <c r="VRB77" s="139"/>
      <c r="VRC77" s="139"/>
      <c r="VRD77" s="139"/>
      <c r="VRE77" s="139"/>
      <c r="VRF77" s="139"/>
      <c r="VRG77" s="139"/>
      <c r="VRH77" s="139"/>
      <c r="VRI77" s="139"/>
      <c r="VRJ77" s="139"/>
      <c r="VRK77" s="139"/>
      <c r="VRL77" s="139"/>
      <c r="VRM77" s="139"/>
      <c r="VRN77" s="139"/>
      <c r="VRO77" s="139"/>
      <c r="VRP77" s="139"/>
      <c r="VRQ77" s="139"/>
      <c r="VRR77" s="139"/>
      <c r="VRS77" s="139"/>
      <c r="VRT77" s="139"/>
      <c r="VRU77" s="139"/>
      <c r="VRV77" s="139"/>
      <c r="VRW77" s="139"/>
      <c r="VRX77" s="139"/>
      <c r="VRY77" s="139"/>
      <c r="VRZ77" s="139"/>
      <c r="VSA77" s="139"/>
      <c r="VSB77" s="139"/>
      <c r="VSC77" s="139"/>
      <c r="VSD77" s="139"/>
      <c r="VSE77" s="139"/>
      <c r="VSF77" s="139"/>
      <c r="VSG77" s="139"/>
      <c r="VSH77" s="139"/>
      <c r="VSI77" s="139"/>
      <c r="VSJ77" s="139"/>
      <c r="VSK77" s="139"/>
      <c r="VSL77" s="139"/>
      <c r="VSM77" s="139"/>
      <c r="VSN77" s="139"/>
      <c r="VSO77" s="139"/>
      <c r="VSP77" s="139"/>
      <c r="VSQ77" s="139"/>
      <c r="VSR77" s="139"/>
      <c r="VSS77" s="139"/>
      <c r="VST77" s="139"/>
      <c r="VSU77" s="139"/>
      <c r="VSV77" s="139"/>
      <c r="VSW77" s="139"/>
      <c r="VSX77" s="139"/>
      <c r="VSY77" s="139"/>
      <c r="VSZ77" s="139"/>
      <c r="VTA77" s="139"/>
      <c r="VTB77" s="139"/>
      <c r="VTC77" s="139"/>
      <c r="VTD77" s="139"/>
      <c r="VTE77" s="139"/>
      <c r="VTF77" s="139"/>
      <c r="VTG77" s="139"/>
      <c r="VTH77" s="139"/>
      <c r="VTI77" s="139"/>
      <c r="VTJ77" s="139"/>
      <c r="VTK77" s="139"/>
      <c r="VTL77" s="139"/>
      <c r="VTM77" s="139"/>
      <c r="VTN77" s="139"/>
      <c r="VTO77" s="139"/>
      <c r="VTP77" s="139"/>
      <c r="VTQ77" s="139"/>
      <c r="VTR77" s="139"/>
      <c r="VTS77" s="139"/>
      <c r="VTT77" s="139"/>
      <c r="VTU77" s="139"/>
      <c r="VTV77" s="139"/>
      <c r="VTW77" s="139"/>
      <c r="VTX77" s="139"/>
      <c r="VTY77" s="139"/>
      <c r="VTZ77" s="139"/>
      <c r="VUA77" s="139"/>
      <c r="VUB77" s="139"/>
      <c r="VUC77" s="139"/>
      <c r="VUD77" s="139"/>
      <c r="VUE77" s="139"/>
      <c r="VUF77" s="139"/>
      <c r="VUG77" s="139"/>
      <c r="VUH77" s="139"/>
      <c r="VUI77" s="139"/>
      <c r="VUJ77" s="139"/>
      <c r="VUK77" s="139"/>
      <c r="VUL77" s="139"/>
      <c r="VUM77" s="139"/>
      <c r="VUN77" s="139"/>
      <c r="VUO77" s="139"/>
      <c r="VUP77" s="139"/>
      <c r="VUQ77" s="139"/>
      <c r="VUR77" s="139"/>
      <c r="VUS77" s="139"/>
      <c r="VUT77" s="139"/>
      <c r="VUU77" s="139"/>
      <c r="VUV77" s="139"/>
      <c r="VUW77" s="139"/>
      <c r="VUX77" s="139"/>
      <c r="VUY77" s="139"/>
      <c r="VUZ77" s="139"/>
      <c r="VVA77" s="139"/>
      <c r="VVB77" s="139"/>
      <c r="VVC77" s="139"/>
      <c r="VVD77" s="139"/>
      <c r="VVE77" s="139"/>
      <c r="VVF77" s="139"/>
      <c r="VVG77" s="139"/>
      <c r="VVH77" s="139"/>
      <c r="VVI77" s="139"/>
      <c r="VVJ77" s="139"/>
      <c r="VVK77" s="139"/>
      <c r="VVL77" s="139"/>
      <c r="VVM77" s="139"/>
      <c r="VVN77" s="139"/>
      <c r="VVO77" s="139"/>
      <c r="VVP77" s="139"/>
      <c r="VVQ77" s="139"/>
      <c r="VVR77" s="139"/>
      <c r="VVS77" s="139"/>
      <c r="VVT77" s="139"/>
      <c r="VVU77" s="139"/>
      <c r="VVV77" s="139"/>
      <c r="VVW77" s="139"/>
      <c r="VVX77" s="139"/>
      <c r="VVY77" s="139"/>
      <c r="VVZ77" s="139"/>
      <c r="VWA77" s="139"/>
      <c r="VWB77" s="139"/>
      <c r="VWC77" s="139"/>
      <c r="VWD77" s="139"/>
      <c r="VWE77" s="139"/>
      <c r="VWF77" s="139"/>
      <c r="VWG77" s="139"/>
      <c r="VWH77" s="139"/>
      <c r="VWI77" s="139"/>
      <c r="VWJ77" s="139"/>
      <c r="VWK77" s="139"/>
      <c r="VWL77" s="139"/>
      <c r="VWM77" s="139"/>
      <c r="VWN77" s="139"/>
      <c r="VWO77" s="139"/>
      <c r="VWP77" s="139"/>
      <c r="VWQ77" s="139"/>
      <c r="VWR77" s="139"/>
      <c r="VWS77" s="139"/>
      <c r="VWT77" s="139"/>
      <c r="VWU77" s="139"/>
      <c r="VWV77" s="139"/>
      <c r="VWW77" s="139"/>
      <c r="VWX77" s="139"/>
      <c r="VWY77" s="139"/>
      <c r="VWZ77" s="139"/>
      <c r="VXA77" s="139"/>
      <c r="VXB77" s="139"/>
      <c r="VXC77" s="139"/>
      <c r="VXD77" s="139"/>
      <c r="VXE77" s="139"/>
      <c r="VXF77" s="139"/>
      <c r="VXG77" s="139"/>
      <c r="VXH77" s="139"/>
      <c r="VXI77" s="139"/>
      <c r="VXJ77" s="139"/>
      <c r="VXK77" s="139"/>
      <c r="VXL77" s="139"/>
      <c r="VXM77" s="139"/>
      <c r="VXN77" s="139"/>
      <c r="VXO77" s="139"/>
      <c r="VXP77" s="139"/>
      <c r="VXQ77" s="139"/>
      <c r="VXR77" s="139"/>
      <c r="VXS77" s="139"/>
      <c r="VXT77" s="139"/>
      <c r="VXU77" s="139"/>
      <c r="VXV77" s="139"/>
      <c r="VXW77" s="139"/>
      <c r="VXX77" s="139"/>
      <c r="VXY77" s="139"/>
      <c r="VXZ77" s="139"/>
      <c r="VYA77" s="139"/>
      <c r="VYB77" s="139"/>
      <c r="VYC77" s="139"/>
      <c r="VYD77" s="139"/>
      <c r="VYE77" s="139"/>
      <c r="VYF77" s="139"/>
      <c r="VYG77" s="139"/>
      <c r="VYH77" s="139"/>
      <c r="VYI77" s="139"/>
      <c r="VYJ77" s="139"/>
      <c r="VYK77" s="139"/>
      <c r="VYL77" s="139"/>
      <c r="VYM77" s="139"/>
      <c r="VYN77" s="139"/>
      <c r="VYO77" s="139"/>
      <c r="VYP77" s="139"/>
      <c r="VYQ77" s="139"/>
      <c r="VYR77" s="139"/>
      <c r="VYS77" s="139"/>
      <c r="VYT77" s="139"/>
      <c r="VYU77" s="139"/>
      <c r="VYV77" s="139"/>
      <c r="VYW77" s="139"/>
      <c r="VYX77" s="139"/>
      <c r="VYY77" s="139"/>
      <c r="VYZ77" s="139"/>
      <c r="VZA77" s="139"/>
      <c r="VZB77" s="139"/>
      <c r="VZC77" s="139"/>
      <c r="VZD77" s="139"/>
      <c r="VZE77" s="139"/>
      <c r="VZF77" s="139"/>
      <c r="VZG77" s="139"/>
      <c r="VZH77" s="139"/>
      <c r="VZI77" s="139"/>
      <c r="VZJ77" s="139"/>
      <c r="VZK77" s="139"/>
      <c r="VZL77" s="139"/>
      <c r="VZM77" s="139"/>
      <c r="VZN77" s="139"/>
      <c r="VZO77" s="139"/>
      <c r="VZP77" s="139"/>
      <c r="VZQ77" s="139"/>
      <c r="VZR77" s="139"/>
      <c r="VZS77" s="139"/>
      <c r="VZT77" s="139"/>
      <c r="VZU77" s="139"/>
      <c r="VZV77" s="139"/>
      <c r="VZW77" s="139"/>
      <c r="VZX77" s="139"/>
      <c r="VZY77" s="139"/>
      <c r="VZZ77" s="139"/>
      <c r="WAA77" s="139"/>
      <c r="WAB77" s="139"/>
      <c r="WAC77" s="139"/>
      <c r="WAD77" s="139"/>
      <c r="WAE77" s="139"/>
      <c r="WAF77" s="139"/>
      <c r="WAG77" s="139"/>
      <c r="WAH77" s="139"/>
      <c r="WAI77" s="139"/>
      <c r="WAJ77" s="139"/>
      <c r="WAK77" s="139"/>
      <c r="WAL77" s="139"/>
      <c r="WAM77" s="139"/>
      <c r="WAN77" s="139"/>
      <c r="WAO77" s="139"/>
      <c r="WAP77" s="139"/>
      <c r="WAQ77" s="139"/>
      <c r="WAR77" s="139"/>
      <c r="WAS77" s="139"/>
      <c r="WAT77" s="139"/>
      <c r="WAU77" s="139"/>
      <c r="WAV77" s="139"/>
      <c r="WAW77" s="139"/>
      <c r="WAX77" s="139"/>
      <c r="WAY77" s="139"/>
      <c r="WAZ77" s="139"/>
      <c r="WBA77" s="139"/>
      <c r="WBB77" s="139"/>
      <c r="WBC77" s="139"/>
      <c r="WBD77" s="139"/>
      <c r="WBE77" s="139"/>
      <c r="WBF77" s="139"/>
      <c r="WBG77" s="139"/>
      <c r="WBH77" s="139"/>
      <c r="WBI77" s="139"/>
      <c r="WBJ77" s="139"/>
      <c r="WBK77" s="139"/>
      <c r="WBL77" s="139"/>
      <c r="WBM77" s="139"/>
      <c r="WBN77" s="139"/>
      <c r="WBO77" s="139"/>
      <c r="WBP77" s="139"/>
      <c r="WBQ77" s="139"/>
      <c r="WBR77" s="139"/>
      <c r="WBS77" s="139"/>
      <c r="WBT77" s="139"/>
      <c r="WBU77" s="139"/>
      <c r="WBV77" s="139"/>
      <c r="WBW77" s="139"/>
      <c r="WBX77" s="139"/>
      <c r="WBY77" s="139"/>
      <c r="WBZ77" s="139"/>
      <c r="WCA77" s="139"/>
      <c r="WCB77" s="139"/>
      <c r="WCC77" s="139"/>
      <c r="WCD77" s="139"/>
      <c r="WCE77" s="139"/>
      <c r="WCF77" s="139"/>
      <c r="WCG77" s="139"/>
      <c r="WCH77" s="139"/>
      <c r="WCI77" s="139"/>
      <c r="WCJ77" s="139"/>
      <c r="WCK77" s="139"/>
      <c r="WCL77" s="139"/>
      <c r="WCM77" s="139"/>
      <c r="WCN77" s="139"/>
      <c r="WCO77" s="139"/>
      <c r="WCP77" s="139"/>
      <c r="WCQ77" s="139"/>
      <c r="WCR77" s="139"/>
      <c r="WCS77" s="139"/>
      <c r="WCT77" s="139"/>
      <c r="WCU77" s="139"/>
      <c r="WCV77" s="139"/>
      <c r="WCW77" s="139"/>
      <c r="WCX77" s="139"/>
      <c r="WCY77" s="139"/>
      <c r="WCZ77" s="139"/>
      <c r="WDA77" s="139"/>
      <c r="WDB77" s="139"/>
      <c r="WDC77" s="139"/>
      <c r="WDD77" s="139"/>
      <c r="WDE77" s="139"/>
      <c r="WDF77" s="139"/>
      <c r="WDG77" s="139"/>
      <c r="WDH77" s="139"/>
      <c r="WDI77" s="139"/>
      <c r="WDJ77" s="139"/>
      <c r="WDK77" s="139"/>
      <c r="WDL77" s="139"/>
      <c r="WDM77" s="139"/>
      <c r="WDN77" s="139"/>
      <c r="WDO77" s="139"/>
      <c r="WDP77" s="139"/>
      <c r="WDQ77" s="139"/>
      <c r="WDR77" s="139"/>
      <c r="WDS77" s="139"/>
      <c r="WDT77" s="139"/>
      <c r="WDU77" s="139"/>
      <c r="WDV77" s="139"/>
      <c r="WDW77" s="139"/>
      <c r="WDX77" s="139"/>
      <c r="WDY77" s="139"/>
      <c r="WDZ77" s="139"/>
      <c r="WEA77" s="139"/>
      <c r="WEB77" s="139"/>
      <c r="WEC77" s="139"/>
      <c r="WED77" s="139"/>
      <c r="WEE77" s="139"/>
      <c r="WEF77" s="139"/>
      <c r="WEG77" s="139"/>
      <c r="WEH77" s="139"/>
      <c r="WEI77" s="139"/>
      <c r="WEJ77" s="139"/>
      <c r="WEK77" s="139"/>
      <c r="WEL77" s="139"/>
      <c r="WEM77" s="139"/>
      <c r="WEN77" s="139"/>
      <c r="WEO77" s="139"/>
      <c r="WEP77" s="139"/>
      <c r="WEQ77" s="139"/>
      <c r="WER77" s="139"/>
      <c r="WES77" s="139"/>
      <c r="WET77" s="139"/>
      <c r="WEU77" s="139"/>
      <c r="WEV77" s="139"/>
      <c r="WEW77" s="139"/>
      <c r="WEX77" s="139"/>
      <c r="WEY77" s="139"/>
      <c r="WEZ77" s="139"/>
      <c r="WFA77" s="139"/>
      <c r="WFB77" s="139"/>
      <c r="WFC77" s="139"/>
      <c r="WFD77" s="139"/>
      <c r="WFE77" s="139"/>
      <c r="WFF77" s="139"/>
      <c r="WFG77" s="139"/>
      <c r="WFH77" s="139"/>
      <c r="WFI77" s="139"/>
      <c r="WFJ77" s="139"/>
      <c r="WFK77" s="139"/>
      <c r="WFL77" s="139"/>
      <c r="WFM77" s="139"/>
      <c r="WFN77" s="139"/>
      <c r="WFO77" s="139"/>
      <c r="WFP77" s="139"/>
      <c r="WFQ77" s="139"/>
      <c r="WFR77" s="139"/>
      <c r="WFS77" s="139"/>
      <c r="WFT77" s="139"/>
      <c r="WFU77" s="139"/>
      <c r="WFV77" s="139"/>
      <c r="WFW77" s="139"/>
      <c r="WFX77" s="139"/>
      <c r="WFY77" s="139"/>
      <c r="WFZ77" s="139"/>
      <c r="WGA77" s="139"/>
      <c r="WGB77" s="139"/>
      <c r="WGC77" s="139"/>
      <c r="WGD77" s="139"/>
      <c r="WGE77" s="139"/>
      <c r="WGF77" s="139"/>
      <c r="WGG77" s="139"/>
      <c r="WGH77" s="139"/>
      <c r="WGI77" s="139"/>
      <c r="WGJ77" s="139"/>
      <c r="WGK77" s="139"/>
      <c r="WGL77" s="139"/>
      <c r="WGM77" s="139"/>
      <c r="WGN77" s="139"/>
      <c r="WGO77" s="139"/>
      <c r="WGP77" s="139"/>
      <c r="WGQ77" s="139"/>
      <c r="WGR77" s="139"/>
      <c r="WGS77" s="139"/>
      <c r="WGT77" s="139"/>
      <c r="WGU77" s="139"/>
      <c r="WGV77" s="139"/>
      <c r="WGW77" s="139"/>
      <c r="WGX77" s="139"/>
      <c r="WGY77" s="139"/>
      <c r="WGZ77" s="139"/>
      <c r="WHA77" s="139"/>
      <c r="WHB77" s="139"/>
      <c r="WHC77" s="139"/>
      <c r="WHD77" s="139"/>
      <c r="WHE77" s="139"/>
      <c r="WHF77" s="139"/>
      <c r="WHG77" s="139"/>
      <c r="WHH77" s="139"/>
      <c r="WHI77" s="139"/>
      <c r="WHJ77" s="139"/>
      <c r="WHK77" s="139"/>
      <c r="WHL77" s="139"/>
      <c r="WHM77" s="139"/>
      <c r="WHN77" s="139"/>
      <c r="WHO77" s="139"/>
      <c r="WHP77" s="139"/>
      <c r="WHQ77" s="139"/>
      <c r="WHR77" s="139"/>
      <c r="WHS77" s="139"/>
      <c r="WHT77" s="139"/>
      <c r="WHU77" s="139"/>
      <c r="WHV77" s="139"/>
      <c r="WHW77" s="139"/>
      <c r="WHX77" s="139"/>
      <c r="WHY77" s="139"/>
      <c r="WHZ77" s="139"/>
      <c r="WIA77" s="139"/>
      <c r="WIB77" s="139"/>
      <c r="WIC77" s="139"/>
      <c r="WID77" s="139"/>
      <c r="WIE77" s="139"/>
      <c r="WIF77" s="139"/>
      <c r="WIG77" s="139"/>
      <c r="WIH77" s="139"/>
      <c r="WII77" s="139"/>
      <c r="WIJ77" s="139"/>
      <c r="WIK77" s="139"/>
      <c r="WIL77" s="139"/>
      <c r="WIM77" s="139"/>
      <c r="WIN77" s="139"/>
      <c r="WIO77" s="139"/>
      <c r="WIP77" s="139"/>
      <c r="WIQ77" s="139"/>
      <c r="WIR77" s="139"/>
      <c r="WIS77" s="139"/>
      <c r="WIT77" s="139"/>
      <c r="WIU77" s="139"/>
      <c r="WIV77" s="139"/>
      <c r="WIW77" s="139"/>
      <c r="WIX77" s="139"/>
      <c r="WIY77" s="139"/>
      <c r="WIZ77" s="139"/>
      <c r="WJA77" s="139"/>
      <c r="WJB77" s="139"/>
      <c r="WJC77" s="139"/>
      <c r="WJD77" s="139"/>
      <c r="WJE77" s="139"/>
      <c r="WJF77" s="139"/>
      <c r="WJG77" s="139"/>
      <c r="WJH77" s="139"/>
      <c r="WJI77" s="139"/>
      <c r="WJJ77" s="139"/>
      <c r="WJK77" s="139"/>
      <c r="WJL77" s="139"/>
      <c r="WJM77" s="139"/>
      <c r="WJN77" s="139"/>
      <c r="WJO77" s="139"/>
      <c r="WJP77" s="139"/>
      <c r="WJQ77" s="139"/>
      <c r="WJR77" s="139"/>
      <c r="WJS77" s="139"/>
      <c r="WJT77" s="139"/>
      <c r="WJU77" s="139"/>
      <c r="WJV77" s="139"/>
      <c r="WJW77" s="139"/>
      <c r="WJX77" s="139"/>
      <c r="WJY77" s="139"/>
      <c r="WJZ77" s="139"/>
      <c r="WKA77" s="139"/>
      <c r="WKB77" s="139"/>
      <c r="WKC77" s="139"/>
      <c r="WKD77" s="139"/>
      <c r="WKE77" s="139"/>
      <c r="WKF77" s="139"/>
      <c r="WKG77" s="139"/>
      <c r="WKH77" s="139"/>
      <c r="WKI77" s="139"/>
      <c r="WKJ77" s="139"/>
      <c r="WKK77" s="139"/>
      <c r="WKL77" s="139"/>
      <c r="WKM77" s="139"/>
      <c r="WKN77" s="139"/>
      <c r="WKO77" s="139"/>
      <c r="WKP77" s="139"/>
      <c r="WKQ77" s="139"/>
      <c r="WKR77" s="139"/>
      <c r="WKS77" s="139"/>
      <c r="WKT77" s="139"/>
      <c r="WKU77" s="139"/>
      <c r="WKV77" s="139"/>
      <c r="WKW77" s="139"/>
      <c r="WKX77" s="139"/>
      <c r="WKY77" s="139"/>
      <c r="WKZ77" s="139"/>
      <c r="WLA77" s="139"/>
      <c r="WLB77" s="139"/>
      <c r="WLC77" s="139"/>
      <c r="WLD77" s="139"/>
      <c r="WLE77" s="139"/>
      <c r="WLF77" s="139"/>
      <c r="WLG77" s="139"/>
      <c r="WLH77" s="139"/>
      <c r="WLI77" s="139"/>
      <c r="WLJ77" s="139"/>
      <c r="WLK77" s="139"/>
      <c r="WLL77" s="139"/>
      <c r="WLM77" s="139"/>
      <c r="WLN77" s="139"/>
      <c r="WLO77" s="139"/>
      <c r="WLP77" s="139"/>
      <c r="WLQ77" s="139"/>
      <c r="WLR77" s="139"/>
      <c r="WLS77" s="139"/>
      <c r="WLT77" s="139"/>
      <c r="WLU77" s="139"/>
      <c r="WLV77" s="139"/>
      <c r="WLW77" s="139"/>
      <c r="WLX77" s="139"/>
      <c r="WLY77" s="139"/>
      <c r="WLZ77" s="139"/>
      <c r="WMA77" s="139"/>
      <c r="WMB77" s="139"/>
      <c r="WMC77" s="139"/>
      <c r="WMD77" s="139"/>
      <c r="WME77" s="139"/>
      <c r="WMF77" s="139"/>
      <c r="WMG77" s="139"/>
      <c r="WMH77" s="139"/>
      <c r="WMI77" s="139"/>
      <c r="WMJ77" s="139"/>
      <c r="WMK77" s="139"/>
      <c r="WML77" s="139"/>
      <c r="WMM77" s="139"/>
      <c r="WMN77" s="139"/>
      <c r="WMO77" s="139"/>
      <c r="WMP77" s="139"/>
      <c r="WMQ77" s="139"/>
      <c r="WMR77" s="139"/>
      <c r="WMS77" s="139"/>
      <c r="WMT77" s="139"/>
      <c r="WMU77" s="139"/>
      <c r="WMV77" s="139"/>
      <c r="WMW77" s="139"/>
      <c r="WMX77" s="139"/>
      <c r="WMY77" s="139"/>
      <c r="WMZ77" s="139"/>
      <c r="WNA77" s="139"/>
      <c r="WNB77" s="139"/>
      <c r="WNC77" s="139"/>
      <c r="WND77" s="139"/>
      <c r="WNE77" s="139"/>
      <c r="WNF77" s="139"/>
      <c r="WNG77" s="139"/>
      <c r="WNH77" s="139"/>
      <c r="WNI77" s="139"/>
      <c r="WNJ77" s="139"/>
      <c r="WNK77" s="139"/>
      <c r="WNL77" s="139"/>
      <c r="WNM77" s="139"/>
      <c r="WNN77" s="139"/>
      <c r="WNO77" s="139"/>
      <c r="WNP77" s="139"/>
      <c r="WNQ77" s="139"/>
      <c r="WNR77" s="139"/>
      <c r="WNS77" s="139"/>
      <c r="WNT77" s="139"/>
      <c r="WNU77" s="139"/>
      <c r="WNV77" s="139"/>
      <c r="WNW77" s="139"/>
      <c r="WNX77" s="139"/>
      <c r="WNY77" s="139"/>
      <c r="WNZ77" s="139"/>
      <c r="WOA77" s="139"/>
      <c r="WOB77" s="139"/>
      <c r="WOC77" s="139"/>
      <c r="WOD77" s="139"/>
      <c r="WOE77" s="139"/>
      <c r="WOF77" s="139"/>
      <c r="WOG77" s="139"/>
      <c r="WOH77" s="139"/>
      <c r="WOI77" s="139"/>
      <c r="WOJ77" s="139"/>
      <c r="WOK77" s="139"/>
      <c r="WOL77" s="139"/>
      <c r="WOM77" s="139"/>
      <c r="WON77" s="139"/>
      <c r="WOO77" s="139"/>
      <c r="WOP77" s="139"/>
      <c r="WOQ77" s="139"/>
      <c r="WOR77" s="139"/>
      <c r="WOS77" s="139"/>
      <c r="WOT77" s="139"/>
      <c r="WOU77" s="139"/>
      <c r="WOV77" s="139"/>
      <c r="WOW77" s="139"/>
      <c r="WOX77" s="139"/>
      <c r="WOY77" s="139"/>
      <c r="WOZ77" s="139"/>
      <c r="WPA77" s="139"/>
      <c r="WPB77" s="139"/>
      <c r="WPC77" s="139"/>
      <c r="WPD77" s="139"/>
      <c r="WPE77" s="139"/>
      <c r="WPF77" s="139"/>
      <c r="WPG77" s="139"/>
      <c r="WPH77" s="139"/>
      <c r="WPI77" s="139"/>
      <c r="WPJ77" s="139"/>
      <c r="WPK77" s="139"/>
      <c r="WPL77" s="139"/>
      <c r="WPM77" s="139"/>
      <c r="WPN77" s="139"/>
      <c r="WPO77" s="139"/>
      <c r="WPP77" s="139"/>
      <c r="WPQ77" s="139"/>
      <c r="WPR77" s="139"/>
      <c r="WPS77" s="139"/>
      <c r="WPT77" s="139"/>
      <c r="WPU77" s="139"/>
      <c r="WPV77" s="139"/>
      <c r="WPW77" s="139"/>
      <c r="WPX77" s="139"/>
      <c r="WPY77" s="139"/>
      <c r="WPZ77" s="139"/>
      <c r="WQA77" s="139"/>
      <c r="WQB77" s="139"/>
      <c r="WQC77" s="139"/>
      <c r="WQD77" s="139"/>
      <c r="WQE77" s="139"/>
      <c r="WQF77" s="139"/>
      <c r="WQG77" s="139"/>
      <c r="WQH77" s="139"/>
      <c r="WQI77" s="139"/>
      <c r="WQJ77" s="139"/>
      <c r="WQK77" s="139"/>
      <c r="WQL77" s="139"/>
      <c r="WQM77" s="139"/>
      <c r="WQN77" s="139"/>
      <c r="WQO77" s="139"/>
      <c r="WQP77" s="139"/>
      <c r="WQQ77" s="139"/>
      <c r="WQR77" s="139"/>
      <c r="WQS77" s="139"/>
      <c r="WQT77" s="139"/>
      <c r="WQU77" s="139"/>
      <c r="WQV77" s="139"/>
      <c r="WQW77" s="139"/>
      <c r="WQX77" s="139"/>
      <c r="WQY77" s="139"/>
      <c r="WQZ77" s="139"/>
      <c r="WRA77" s="139"/>
      <c r="WRB77" s="139"/>
      <c r="WRC77" s="139"/>
      <c r="WRD77" s="139"/>
      <c r="WRE77" s="139"/>
      <c r="WRF77" s="139"/>
      <c r="WRG77" s="139"/>
      <c r="WRH77" s="139"/>
      <c r="WRI77" s="139"/>
      <c r="WRJ77" s="139"/>
      <c r="WRK77" s="139"/>
      <c r="WRL77" s="139"/>
      <c r="WRM77" s="139"/>
      <c r="WRN77" s="139"/>
      <c r="WRO77" s="139"/>
      <c r="WRP77" s="139"/>
      <c r="WRQ77" s="139"/>
      <c r="WRR77" s="139"/>
      <c r="WRS77" s="139"/>
      <c r="WRT77" s="139"/>
      <c r="WRU77" s="139"/>
      <c r="WRV77" s="139"/>
      <c r="WRW77" s="139"/>
      <c r="WRX77" s="139"/>
      <c r="WRY77" s="139"/>
      <c r="WRZ77" s="139"/>
      <c r="WSA77" s="139"/>
      <c r="WSB77" s="139"/>
      <c r="WSC77" s="139"/>
      <c r="WSD77" s="139"/>
      <c r="WSE77" s="139"/>
      <c r="WSF77" s="139"/>
      <c r="WSG77" s="139"/>
      <c r="WSH77" s="139"/>
      <c r="WSI77" s="139"/>
      <c r="WSJ77" s="139"/>
      <c r="WSK77" s="139"/>
      <c r="WSL77" s="139"/>
      <c r="WSM77" s="139"/>
      <c r="WSN77" s="139"/>
      <c r="WSO77" s="139"/>
      <c r="WSP77" s="139"/>
      <c r="WSQ77" s="139"/>
      <c r="WSR77" s="139"/>
      <c r="WSS77" s="139"/>
      <c r="WST77" s="139"/>
      <c r="WSU77" s="139"/>
      <c r="WSV77" s="139"/>
      <c r="WSW77" s="139"/>
      <c r="WSX77" s="139"/>
      <c r="WSY77" s="139"/>
      <c r="WSZ77" s="139"/>
      <c r="WTA77" s="139"/>
      <c r="WTB77" s="139"/>
      <c r="WTC77" s="139"/>
      <c r="WTD77" s="139"/>
      <c r="WTE77" s="139"/>
      <c r="WTF77" s="139"/>
      <c r="WTG77" s="139"/>
      <c r="WTH77" s="139"/>
      <c r="WTI77" s="139"/>
      <c r="WTJ77" s="139"/>
      <c r="WTK77" s="139"/>
      <c r="WTL77" s="139"/>
      <c r="WTM77" s="139"/>
      <c r="WTN77" s="139"/>
      <c r="WTO77" s="139"/>
      <c r="WTP77" s="139"/>
      <c r="WTQ77" s="139"/>
      <c r="WTR77" s="139"/>
      <c r="WTS77" s="139"/>
      <c r="WTT77" s="139"/>
      <c r="WTU77" s="139"/>
      <c r="WTV77" s="139"/>
      <c r="WTW77" s="139"/>
      <c r="WTX77" s="139"/>
      <c r="WTY77" s="139"/>
      <c r="WTZ77" s="139"/>
      <c r="WUA77" s="139"/>
      <c r="WUB77" s="139"/>
      <c r="WUC77" s="139"/>
      <c r="WUD77" s="139"/>
      <c r="WUE77" s="139"/>
      <c r="WUF77" s="139"/>
      <c r="WUG77" s="139"/>
      <c r="WUH77" s="139"/>
      <c r="WUI77" s="139"/>
      <c r="WUJ77" s="139"/>
      <c r="WUK77" s="139"/>
      <c r="WUL77" s="139"/>
      <c r="WUM77" s="139"/>
      <c r="WUN77" s="139"/>
      <c r="WUO77" s="139"/>
      <c r="WUP77" s="139"/>
      <c r="WUQ77" s="139"/>
      <c r="WUR77" s="139"/>
      <c r="WUS77" s="139"/>
      <c r="WUT77" s="139"/>
      <c r="WUU77" s="139"/>
      <c r="WUV77" s="139"/>
      <c r="WUW77" s="139"/>
      <c r="WUX77" s="139"/>
      <c r="WUY77" s="139"/>
      <c r="WUZ77" s="139"/>
      <c r="WVA77" s="139"/>
      <c r="WVB77" s="139"/>
      <c r="WVC77" s="139"/>
      <c r="WVD77" s="139"/>
      <c r="WVE77" s="139"/>
      <c r="WVF77" s="139"/>
      <c r="WVG77" s="139"/>
      <c r="WVH77" s="139"/>
      <c r="WVI77" s="139"/>
      <c r="WVJ77" s="139"/>
      <c r="WVK77" s="210"/>
      <c r="WVL77" s="211"/>
      <c r="WVM77" s="212"/>
      <c r="WVN77" s="213"/>
    </row>
    <row r="78" spans="1:16134" hidden="1" x14ac:dyDescent="0.25">
      <c r="A78" s="209"/>
      <c r="B78" s="209"/>
      <c r="C78" s="199"/>
      <c r="D78" s="200"/>
      <c r="E78" s="201">
        <f t="shared" si="1"/>
        <v>0</v>
      </c>
      <c r="F78" s="202">
        <f t="shared" si="3"/>
        <v>0</v>
      </c>
      <c r="G78" s="203">
        <v>0</v>
      </c>
      <c r="H78" s="204">
        <f t="shared" si="8"/>
        <v>0</v>
      </c>
      <c r="I78" s="204">
        <f t="shared" si="9"/>
        <v>0</v>
      </c>
      <c r="J78" s="204"/>
      <c r="K78" s="204">
        <f t="shared" si="13"/>
        <v>0</v>
      </c>
      <c r="L78" s="204"/>
      <c r="M78" s="204"/>
      <c r="N78" s="204"/>
      <c r="O78" s="205">
        <v>0</v>
      </c>
      <c r="P78" s="204">
        <v>0</v>
      </c>
      <c r="Q78" s="204" t="e">
        <f>+#REF!</f>
        <v>#REF!</v>
      </c>
    </row>
    <row r="79" spans="1:16134" hidden="1" x14ac:dyDescent="0.25">
      <c r="A79" s="209"/>
      <c r="B79" s="209"/>
      <c r="C79" s="199"/>
      <c r="D79" s="200"/>
      <c r="E79" s="201">
        <f t="shared" si="1"/>
        <v>0</v>
      </c>
      <c r="F79" s="202">
        <f t="shared" si="3"/>
        <v>0</v>
      </c>
      <c r="G79" s="203">
        <v>0</v>
      </c>
      <c r="H79" s="204">
        <f t="shared" si="8"/>
        <v>0</v>
      </c>
      <c r="I79" s="204">
        <f t="shared" si="9"/>
        <v>0</v>
      </c>
      <c r="J79" s="204"/>
      <c r="K79" s="204">
        <f t="shared" si="13"/>
        <v>0</v>
      </c>
      <c r="L79" s="204"/>
      <c r="M79" s="204"/>
      <c r="N79" s="204"/>
      <c r="O79" s="204">
        <v>0</v>
      </c>
      <c r="P79" s="204">
        <v>0</v>
      </c>
      <c r="Q79" s="204" t="e">
        <f>+#REF!</f>
        <v>#REF!</v>
      </c>
    </row>
    <row r="80" spans="1:16134" s="173" customFormat="1" hidden="1" x14ac:dyDescent="0.25">
      <c r="A80" s="209"/>
      <c r="B80" s="209"/>
      <c r="C80" s="199"/>
      <c r="D80" s="200"/>
      <c r="E80" s="201">
        <f t="shared" si="1"/>
        <v>0</v>
      </c>
      <c r="F80" s="202">
        <f t="shared" si="3"/>
        <v>0</v>
      </c>
      <c r="G80" s="203">
        <v>0</v>
      </c>
      <c r="H80" s="204">
        <f t="shared" si="8"/>
        <v>0</v>
      </c>
      <c r="I80" s="204">
        <f t="shared" si="9"/>
        <v>0</v>
      </c>
      <c r="J80" s="204"/>
      <c r="K80" s="204">
        <f t="shared" si="13"/>
        <v>0</v>
      </c>
      <c r="L80" s="204"/>
      <c r="M80" s="204"/>
      <c r="N80" s="204"/>
      <c r="O80" s="205">
        <v>0</v>
      </c>
      <c r="P80" s="204">
        <v>0</v>
      </c>
      <c r="Q80" s="204" t="e">
        <f>+#REF!</f>
        <v>#REF!</v>
      </c>
    </row>
    <row r="81" spans="1:17" s="173" customFormat="1" hidden="1" x14ac:dyDescent="0.25">
      <c r="A81" s="209"/>
      <c r="B81" s="209"/>
      <c r="C81" s="199"/>
      <c r="D81" s="200"/>
      <c r="E81" s="201">
        <f t="shared" si="1"/>
        <v>0</v>
      </c>
      <c r="F81" s="202">
        <f t="shared" si="3"/>
        <v>0</v>
      </c>
      <c r="G81" s="203">
        <v>0</v>
      </c>
      <c r="H81" s="204">
        <f t="shared" si="8"/>
        <v>0</v>
      </c>
      <c r="I81" s="204">
        <f t="shared" si="9"/>
        <v>0</v>
      </c>
      <c r="J81" s="204"/>
      <c r="K81" s="204">
        <f t="shared" si="13"/>
        <v>0</v>
      </c>
      <c r="L81" s="204"/>
      <c r="M81" s="204"/>
      <c r="N81" s="204"/>
      <c r="O81" s="204">
        <v>0</v>
      </c>
      <c r="P81" s="204">
        <v>0</v>
      </c>
      <c r="Q81" s="204" t="e">
        <f>+#REF!</f>
        <v>#REF!</v>
      </c>
    </row>
    <row r="82" spans="1:17" s="173" customFormat="1" hidden="1" x14ac:dyDescent="0.25">
      <c r="A82" s="209"/>
      <c r="B82" s="209"/>
      <c r="C82" s="199"/>
      <c r="D82" s="200"/>
      <c r="E82" s="201">
        <f t="shared" si="1"/>
        <v>0</v>
      </c>
      <c r="F82" s="202">
        <f t="shared" si="3"/>
        <v>0</v>
      </c>
      <c r="G82" s="203">
        <v>0</v>
      </c>
      <c r="H82" s="204">
        <f t="shared" si="8"/>
        <v>0</v>
      </c>
      <c r="I82" s="204">
        <f t="shared" si="9"/>
        <v>0</v>
      </c>
      <c r="J82" s="204"/>
      <c r="K82" s="204">
        <f t="shared" si="13"/>
        <v>0</v>
      </c>
      <c r="L82" s="204"/>
      <c r="M82" s="204"/>
      <c r="N82" s="204"/>
      <c r="O82" s="205">
        <v>0</v>
      </c>
      <c r="P82" s="204">
        <v>0</v>
      </c>
      <c r="Q82" s="204" t="e">
        <f>+#REF!</f>
        <v>#REF!</v>
      </c>
    </row>
    <row r="83" spans="1:17" s="173" customFormat="1" hidden="1" x14ac:dyDescent="0.25">
      <c r="A83" s="209"/>
      <c r="B83" s="209"/>
      <c r="C83" s="199"/>
      <c r="D83" s="200"/>
      <c r="E83" s="201">
        <f t="shared" si="1"/>
        <v>0</v>
      </c>
      <c r="F83" s="202">
        <f t="shared" si="3"/>
        <v>0</v>
      </c>
      <c r="G83" s="203">
        <v>0</v>
      </c>
      <c r="H83" s="204">
        <f t="shared" si="8"/>
        <v>0</v>
      </c>
      <c r="I83" s="204">
        <f t="shared" si="9"/>
        <v>0</v>
      </c>
      <c r="J83" s="204"/>
      <c r="K83" s="204">
        <f t="shared" si="13"/>
        <v>0</v>
      </c>
      <c r="L83" s="204"/>
      <c r="M83" s="204"/>
      <c r="N83" s="204"/>
      <c r="O83" s="204">
        <v>0</v>
      </c>
      <c r="P83" s="204">
        <v>0</v>
      </c>
      <c r="Q83" s="204" t="e">
        <f>+#REF!</f>
        <v>#REF!</v>
      </c>
    </row>
    <row r="84" spans="1:17" s="173" customFormat="1" hidden="1" x14ac:dyDescent="0.25">
      <c r="A84" s="209"/>
      <c r="B84" s="209"/>
      <c r="C84" s="199"/>
      <c r="D84" s="200"/>
      <c r="E84" s="201">
        <f t="shared" si="1"/>
        <v>0</v>
      </c>
      <c r="F84" s="202">
        <f t="shared" si="3"/>
        <v>0</v>
      </c>
      <c r="G84" s="203">
        <v>0</v>
      </c>
      <c r="H84" s="204">
        <f t="shared" si="8"/>
        <v>0</v>
      </c>
      <c r="I84" s="204">
        <f t="shared" si="9"/>
        <v>0</v>
      </c>
      <c r="J84" s="204"/>
      <c r="K84" s="204">
        <f t="shared" si="13"/>
        <v>0</v>
      </c>
      <c r="L84" s="204"/>
      <c r="M84" s="204"/>
      <c r="N84" s="204"/>
      <c r="O84" s="205">
        <v>0</v>
      </c>
      <c r="P84" s="204">
        <v>0</v>
      </c>
      <c r="Q84" s="204" t="e">
        <f>+#REF!</f>
        <v>#REF!</v>
      </c>
    </row>
    <row r="85" spans="1:17" s="173" customFormat="1" hidden="1" x14ac:dyDescent="0.25">
      <c r="A85" s="209"/>
      <c r="B85" s="209"/>
      <c r="C85" s="199"/>
      <c r="D85" s="200"/>
      <c r="E85" s="201">
        <f t="shared" si="1"/>
        <v>0</v>
      </c>
      <c r="F85" s="202">
        <f t="shared" si="3"/>
        <v>0</v>
      </c>
      <c r="G85" s="203">
        <v>0</v>
      </c>
      <c r="H85" s="204">
        <f t="shared" si="8"/>
        <v>0</v>
      </c>
      <c r="I85" s="204">
        <f t="shared" si="9"/>
        <v>0</v>
      </c>
      <c r="J85" s="204"/>
      <c r="K85" s="204">
        <f t="shared" si="13"/>
        <v>0</v>
      </c>
      <c r="L85" s="204"/>
      <c r="M85" s="204"/>
      <c r="N85" s="204"/>
      <c r="O85" s="204">
        <v>0</v>
      </c>
      <c r="P85" s="204">
        <v>0</v>
      </c>
      <c r="Q85" s="204" t="e">
        <f>+#REF!</f>
        <v>#REF!</v>
      </c>
    </row>
    <row r="86" spans="1:17" hidden="1" x14ac:dyDescent="0.25">
      <c r="A86" s="209"/>
      <c r="B86" s="209"/>
      <c r="C86" s="199"/>
      <c r="D86" s="200"/>
      <c r="E86" s="201">
        <f t="shared" si="1"/>
        <v>0</v>
      </c>
      <c r="F86" s="202">
        <f t="shared" si="3"/>
        <v>0</v>
      </c>
      <c r="G86" s="203">
        <v>0</v>
      </c>
      <c r="H86" s="204">
        <f t="shared" si="8"/>
        <v>0</v>
      </c>
      <c r="I86" s="204">
        <f t="shared" si="9"/>
        <v>0</v>
      </c>
      <c r="J86" s="204"/>
      <c r="K86" s="204">
        <f t="shared" si="13"/>
        <v>0</v>
      </c>
      <c r="L86" s="204"/>
      <c r="M86" s="204"/>
      <c r="N86" s="204"/>
      <c r="O86" s="205">
        <v>0</v>
      </c>
      <c r="P86" s="204">
        <v>0</v>
      </c>
      <c r="Q86" s="204" t="e">
        <f>+#REF!</f>
        <v>#REF!</v>
      </c>
    </row>
    <row r="87" spans="1:17" hidden="1" x14ac:dyDescent="0.25">
      <c r="A87" s="209"/>
      <c r="B87" s="209"/>
      <c r="C87" s="199"/>
      <c r="D87" s="200"/>
      <c r="E87" s="201">
        <f t="shared" si="1"/>
        <v>0</v>
      </c>
      <c r="F87" s="202">
        <f t="shared" si="3"/>
        <v>0</v>
      </c>
      <c r="G87" s="203">
        <v>0</v>
      </c>
      <c r="H87" s="204">
        <f t="shared" si="8"/>
        <v>0</v>
      </c>
      <c r="I87" s="204">
        <f t="shared" si="9"/>
        <v>0</v>
      </c>
      <c r="J87" s="204"/>
      <c r="K87" s="204">
        <f t="shared" si="13"/>
        <v>0</v>
      </c>
      <c r="L87" s="204"/>
      <c r="M87" s="204"/>
      <c r="N87" s="204"/>
      <c r="O87" s="204">
        <v>0</v>
      </c>
      <c r="P87" s="204">
        <v>0</v>
      </c>
      <c r="Q87" s="204" t="e">
        <f>+#REF!</f>
        <v>#REF!</v>
      </c>
    </row>
    <row r="88" spans="1:17" hidden="1" x14ac:dyDescent="0.25">
      <c r="A88" s="209"/>
      <c r="B88" s="209"/>
      <c r="C88" s="199"/>
      <c r="D88" s="200"/>
      <c r="E88" s="201">
        <f t="shared" si="1"/>
        <v>0</v>
      </c>
      <c r="F88" s="202">
        <f t="shared" si="3"/>
        <v>0</v>
      </c>
      <c r="G88" s="203">
        <v>0</v>
      </c>
      <c r="H88" s="204">
        <f t="shared" si="8"/>
        <v>0</v>
      </c>
      <c r="I88" s="204">
        <f t="shared" si="9"/>
        <v>0</v>
      </c>
      <c r="J88" s="204"/>
      <c r="K88" s="204">
        <f t="shared" si="13"/>
        <v>0</v>
      </c>
      <c r="L88" s="204"/>
      <c r="M88" s="204"/>
      <c r="N88" s="204"/>
      <c r="O88" s="205">
        <v>0</v>
      </c>
      <c r="P88" s="204">
        <v>0</v>
      </c>
      <c r="Q88" s="204" t="e">
        <f>+#REF!</f>
        <v>#REF!</v>
      </c>
    </row>
    <row r="89" spans="1:17" hidden="1" x14ac:dyDescent="0.25">
      <c r="A89" s="209"/>
      <c r="B89" s="209"/>
      <c r="C89" s="199"/>
      <c r="D89" s="200"/>
      <c r="E89" s="201">
        <f t="shared" si="1"/>
        <v>0</v>
      </c>
      <c r="F89" s="202">
        <f t="shared" si="3"/>
        <v>0</v>
      </c>
      <c r="G89" s="203">
        <v>0</v>
      </c>
      <c r="H89" s="204">
        <f t="shared" si="8"/>
        <v>0</v>
      </c>
      <c r="I89" s="204">
        <f t="shared" si="9"/>
        <v>0</v>
      </c>
      <c r="J89" s="204"/>
      <c r="K89" s="204">
        <f t="shared" si="13"/>
        <v>0</v>
      </c>
      <c r="L89" s="204"/>
      <c r="M89" s="204"/>
      <c r="N89" s="204"/>
      <c r="O89" s="204">
        <v>0</v>
      </c>
      <c r="P89" s="204">
        <v>0</v>
      </c>
      <c r="Q89" s="204" t="e">
        <f>+#REF!</f>
        <v>#REF!</v>
      </c>
    </row>
    <row r="90" spans="1:17" s="151" customFormat="1" hidden="1" x14ac:dyDescent="0.25">
      <c r="A90" s="209"/>
      <c r="B90" s="209"/>
      <c r="C90" s="199"/>
      <c r="D90" s="200"/>
      <c r="E90" s="201">
        <f t="shared" si="1"/>
        <v>0</v>
      </c>
      <c r="F90" s="202">
        <f t="shared" si="3"/>
        <v>0</v>
      </c>
      <c r="G90" s="203">
        <v>0</v>
      </c>
      <c r="H90" s="204">
        <f t="shared" si="8"/>
        <v>0</v>
      </c>
      <c r="I90" s="204">
        <f t="shared" si="9"/>
        <v>0</v>
      </c>
      <c r="J90" s="204"/>
      <c r="K90" s="204">
        <f t="shared" si="13"/>
        <v>0</v>
      </c>
      <c r="L90" s="204"/>
      <c r="M90" s="204"/>
      <c r="N90" s="204"/>
      <c r="O90" s="205">
        <v>0</v>
      </c>
      <c r="P90" s="204">
        <v>0</v>
      </c>
      <c r="Q90" s="204" t="e">
        <f>+#REF!</f>
        <v>#REF!</v>
      </c>
    </row>
    <row r="91" spans="1:17" s="214" customFormat="1" hidden="1" x14ac:dyDescent="0.25">
      <c r="A91" s="209"/>
      <c r="B91" s="209"/>
      <c r="C91" s="199"/>
      <c r="D91" s="200"/>
      <c r="E91" s="201">
        <f t="shared" si="1"/>
        <v>0</v>
      </c>
      <c r="F91" s="202">
        <f t="shared" si="3"/>
        <v>0</v>
      </c>
      <c r="G91" s="203">
        <v>0</v>
      </c>
      <c r="H91" s="204">
        <f t="shared" si="8"/>
        <v>0</v>
      </c>
      <c r="I91" s="204">
        <f t="shared" si="9"/>
        <v>0</v>
      </c>
      <c r="J91" s="204"/>
      <c r="K91" s="204">
        <f t="shared" si="13"/>
        <v>0</v>
      </c>
      <c r="L91" s="204"/>
      <c r="M91" s="204"/>
      <c r="N91" s="204"/>
      <c r="O91" s="204">
        <v>0</v>
      </c>
      <c r="P91" s="204">
        <v>0</v>
      </c>
      <c r="Q91" s="204" t="e">
        <f>+#REF!</f>
        <v>#REF!</v>
      </c>
    </row>
    <row r="92" spans="1:17" s="173" customFormat="1" hidden="1" x14ac:dyDescent="0.25">
      <c r="A92" s="209"/>
      <c r="B92" s="209"/>
      <c r="C92" s="199"/>
      <c r="D92" s="200"/>
      <c r="E92" s="201">
        <f t="shared" ref="E92:E130" si="14">+G92/30</f>
        <v>0</v>
      </c>
      <c r="F92" s="202">
        <f t="shared" ref="F92:F130" si="15">+E92*1.0452</f>
        <v>0</v>
      </c>
      <c r="G92" s="203">
        <v>0</v>
      </c>
      <c r="H92" s="204">
        <f t="shared" si="8"/>
        <v>0</v>
      </c>
      <c r="I92" s="204">
        <f t="shared" si="9"/>
        <v>0</v>
      </c>
      <c r="J92" s="204"/>
      <c r="K92" s="204">
        <f t="shared" si="13"/>
        <v>0</v>
      </c>
      <c r="L92" s="204"/>
      <c r="M92" s="204"/>
      <c r="N92" s="204"/>
      <c r="O92" s="205">
        <v>0</v>
      </c>
      <c r="P92" s="204">
        <v>0</v>
      </c>
      <c r="Q92" s="204" t="e">
        <f>+#REF!</f>
        <v>#REF!</v>
      </c>
    </row>
    <row r="93" spans="1:17" hidden="1" x14ac:dyDescent="0.25">
      <c r="A93" s="209"/>
      <c r="B93" s="209"/>
      <c r="C93" s="199"/>
      <c r="D93" s="200"/>
      <c r="E93" s="201">
        <f t="shared" si="14"/>
        <v>0</v>
      </c>
      <c r="F93" s="202">
        <f t="shared" si="15"/>
        <v>0</v>
      </c>
      <c r="G93" s="203">
        <v>0</v>
      </c>
      <c r="H93" s="204">
        <v>0</v>
      </c>
      <c r="I93" s="204">
        <v>0</v>
      </c>
      <c r="J93" s="204"/>
      <c r="K93" s="204">
        <v>0</v>
      </c>
      <c r="L93" s="204"/>
      <c r="M93" s="204"/>
      <c r="N93" s="204"/>
      <c r="O93" s="204">
        <v>0</v>
      </c>
      <c r="P93" s="204">
        <v>0</v>
      </c>
      <c r="Q93" s="204" t="e">
        <f>+#REF!</f>
        <v>#REF!</v>
      </c>
    </row>
    <row r="94" spans="1:17" hidden="1" x14ac:dyDescent="0.25">
      <c r="A94" s="209"/>
      <c r="B94" s="209"/>
      <c r="C94" s="199"/>
      <c r="D94" s="200"/>
      <c r="E94" s="201">
        <f t="shared" si="14"/>
        <v>0</v>
      </c>
      <c r="F94" s="202">
        <f t="shared" si="15"/>
        <v>0</v>
      </c>
      <c r="G94" s="203">
        <v>0</v>
      </c>
      <c r="H94" s="204">
        <f t="shared" si="8"/>
        <v>0</v>
      </c>
      <c r="I94" s="204">
        <f t="shared" si="9"/>
        <v>0</v>
      </c>
      <c r="J94" s="204"/>
      <c r="K94" s="204">
        <f t="shared" ref="K94:K132" si="16">(G94/30*50)</f>
        <v>0</v>
      </c>
      <c r="L94" s="204"/>
      <c r="M94" s="204"/>
      <c r="N94" s="204"/>
      <c r="O94" s="205">
        <v>0</v>
      </c>
      <c r="P94" s="204">
        <v>0</v>
      </c>
      <c r="Q94" s="204" t="e">
        <f>+#REF!</f>
        <v>#REF!</v>
      </c>
    </row>
    <row r="95" spans="1:17" hidden="1" x14ac:dyDescent="0.25">
      <c r="A95" s="209"/>
      <c r="B95" s="209"/>
      <c r="C95" s="199"/>
      <c r="D95" s="200"/>
      <c r="E95" s="201">
        <f t="shared" si="14"/>
        <v>0</v>
      </c>
      <c r="F95" s="202">
        <f t="shared" si="15"/>
        <v>0</v>
      </c>
      <c r="G95" s="203">
        <v>0</v>
      </c>
      <c r="H95" s="204">
        <f t="shared" si="8"/>
        <v>0</v>
      </c>
      <c r="I95" s="204">
        <f t="shared" si="9"/>
        <v>0</v>
      </c>
      <c r="J95" s="204"/>
      <c r="K95" s="204">
        <f t="shared" si="16"/>
        <v>0</v>
      </c>
      <c r="L95" s="204"/>
      <c r="M95" s="204"/>
      <c r="N95" s="204"/>
      <c r="O95" s="204">
        <v>0</v>
      </c>
      <c r="P95" s="204">
        <v>0</v>
      </c>
      <c r="Q95" s="204" t="e">
        <f>+#REF!</f>
        <v>#REF!</v>
      </c>
    </row>
    <row r="96" spans="1:17" hidden="1" x14ac:dyDescent="0.25">
      <c r="A96" s="209"/>
      <c r="B96" s="209"/>
      <c r="C96" s="199"/>
      <c r="D96" s="200"/>
      <c r="E96" s="201">
        <f t="shared" si="14"/>
        <v>0</v>
      </c>
      <c r="F96" s="202">
        <f t="shared" si="15"/>
        <v>0</v>
      </c>
      <c r="G96" s="203">
        <v>0</v>
      </c>
      <c r="H96" s="204">
        <f t="shared" si="8"/>
        <v>0</v>
      </c>
      <c r="I96" s="204">
        <f t="shared" si="9"/>
        <v>0</v>
      </c>
      <c r="J96" s="204"/>
      <c r="K96" s="204">
        <f t="shared" si="16"/>
        <v>0</v>
      </c>
      <c r="L96" s="204"/>
      <c r="M96" s="204"/>
      <c r="N96" s="204"/>
      <c r="O96" s="205">
        <v>0</v>
      </c>
      <c r="P96" s="204">
        <v>0</v>
      </c>
      <c r="Q96" s="204" t="e">
        <f>+#REF!</f>
        <v>#REF!</v>
      </c>
    </row>
    <row r="97" spans="1:17" s="173" customFormat="1" hidden="1" x14ac:dyDescent="0.25">
      <c r="A97" s="209"/>
      <c r="B97" s="209"/>
      <c r="C97" s="199"/>
      <c r="D97" s="200"/>
      <c r="E97" s="201">
        <f t="shared" si="14"/>
        <v>0</v>
      </c>
      <c r="F97" s="202">
        <f t="shared" si="15"/>
        <v>0</v>
      </c>
      <c r="G97" s="203">
        <v>0</v>
      </c>
      <c r="H97" s="204">
        <f t="shared" si="8"/>
        <v>0</v>
      </c>
      <c r="I97" s="204">
        <f t="shared" si="9"/>
        <v>0</v>
      </c>
      <c r="J97" s="204"/>
      <c r="K97" s="204">
        <f t="shared" si="16"/>
        <v>0</v>
      </c>
      <c r="L97" s="204"/>
      <c r="M97" s="204"/>
      <c r="N97" s="204"/>
      <c r="O97" s="204">
        <v>0</v>
      </c>
      <c r="P97" s="204">
        <v>0</v>
      </c>
      <c r="Q97" s="204" t="e">
        <f>+#REF!</f>
        <v>#REF!</v>
      </c>
    </row>
    <row r="98" spans="1:17" s="173" customFormat="1" hidden="1" x14ac:dyDescent="0.25">
      <c r="A98" s="209"/>
      <c r="B98" s="209"/>
      <c r="C98" s="199"/>
      <c r="D98" s="206"/>
      <c r="E98" s="201">
        <f>+G98/30</f>
        <v>0</v>
      </c>
      <c r="F98" s="202">
        <f>+E98*1.0452</f>
        <v>0</v>
      </c>
      <c r="G98" s="203">
        <v>0</v>
      </c>
      <c r="H98" s="204">
        <f>+G98*12</f>
        <v>0</v>
      </c>
      <c r="I98" s="204">
        <f>(G98/30*10)</f>
        <v>0</v>
      </c>
      <c r="J98" s="204"/>
      <c r="K98" s="204">
        <f t="shared" si="16"/>
        <v>0</v>
      </c>
      <c r="L98" s="204"/>
      <c r="M98" s="204"/>
      <c r="N98" s="204"/>
      <c r="O98" s="205">
        <v>0</v>
      </c>
      <c r="P98" s="204">
        <v>0</v>
      </c>
      <c r="Q98" s="204" t="e">
        <f>+#REF!</f>
        <v>#REF!</v>
      </c>
    </row>
    <row r="99" spans="1:17" s="173" customFormat="1" hidden="1" x14ac:dyDescent="0.25">
      <c r="A99" s="209"/>
      <c r="B99" s="209"/>
      <c r="C99" s="199"/>
      <c r="D99" s="200"/>
      <c r="E99" s="201">
        <f>+G99/30</f>
        <v>0</v>
      </c>
      <c r="F99" s="202">
        <f>+E99*1.0452</f>
        <v>0</v>
      </c>
      <c r="G99" s="203">
        <v>0</v>
      </c>
      <c r="H99" s="204">
        <f>+G99*12</f>
        <v>0</v>
      </c>
      <c r="I99" s="204">
        <f>(G99/30*10)</f>
        <v>0</v>
      </c>
      <c r="J99" s="204"/>
      <c r="K99" s="204">
        <f t="shared" si="16"/>
        <v>0</v>
      </c>
      <c r="L99" s="204"/>
      <c r="M99" s="204"/>
      <c r="N99" s="204"/>
      <c r="O99" s="204">
        <v>0</v>
      </c>
      <c r="P99" s="204">
        <v>0</v>
      </c>
      <c r="Q99" s="204" t="e">
        <f>+#REF!</f>
        <v>#REF!</v>
      </c>
    </row>
    <row r="100" spans="1:17" hidden="1" x14ac:dyDescent="0.25">
      <c r="A100" s="215"/>
      <c r="B100" s="215"/>
      <c r="C100" s="199"/>
      <c r="D100" s="206"/>
      <c r="E100" s="201">
        <f t="shared" si="14"/>
        <v>0</v>
      </c>
      <c r="F100" s="202">
        <f t="shared" si="15"/>
        <v>0</v>
      </c>
      <c r="G100" s="203">
        <v>0</v>
      </c>
      <c r="H100" s="204">
        <f t="shared" si="8"/>
        <v>0</v>
      </c>
      <c r="I100" s="204">
        <f t="shared" si="9"/>
        <v>0</v>
      </c>
      <c r="J100" s="204"/>
      <c r="K100" s="204">
        <f t="shared" si="16"/>
        <v>0</v>
      </c>
      <c r="L100" s="204"/>
      <c r="M100" s="204"/>
      <c r="N100" s="204"/>
      <c r="O100" s="205">
        <v>0</v>
      </c>
      <c r="P100" s="204">
        <v>0</v>
      </c>
      <c r="Q100" s="204" t="e">
        <f>+#REF!</f>
        <v>#REF!</v>
      </c>
    </row>
    <row r="101" spans="1:17" s="173" customFormat="1" hidden="1" x14ac:dyDescent="0.25">
      <c r="A101" s="215"/>
      <c r="B101" s="215"/>
      <c r="C101" s="199"/>
      <c r="D101" s="200"/>
      <c r="E101" s="201">
        <f t="shared" si="14"/>
        <v>0</v>
      </c>
      <c r="F101" s="202">
        <f t="shared" si="15"/>
        <v>0</v>
      </c>
      <c r="G101" s="203">
        <v>0</v>
      </c>
      <c r="H101" s="204">
        <f t="shared" si="8"/>
        <v>0</v>
      </c>
      <c r="I101" s="204">
        <f t="shared" si="9"/>
        <v>0</v>
      </c>
      <c r="J101" s="204"/>
      <c r="K101" s="204">
        <f t="shared" si="16"/>
        <v>0</v>
      </c>
      <c r="L101" s="204"/>
      <c r="M101" s="204"/>
      <c r="N101" s="204"/>
      <c r="O101" s="204">
        <v>0</v>
      </c>
      <c r="P101" s="204">
        <v>0</v>
      </c>
      <c r="Q101" s="204" t="e">
        <f>+#REF!</f>
        <v>#REF!</v>
      </c>
    </row>
    <row r="102" spans="1:17" hidden="1" x14ac:dyDescent="0.25">
      <c r="A102" s="215"/>
      <c r="B102" s="215"/>
      <c r="C102" s="199"/>
      <c r="D102" s="200"/>
      <c r="E102" s="201">
        <f t="shared" si="14"/>
        <v>0</v>
      </c>
      <c r="F102" s="202">
        <f t="shared" si="15"/>
        <v>0</v>
      </c>
      <c r="G102" s="203">
        <v>0</v>
      </c>
      <c r="H102" s="204">
        <f t="shared" si="8"/>
        <v>0</v>
      </c>
      <c r="I102" s="204">
        <f t="shared" si="9"/>
        <v>0</v>
      </c>
      <c r="J102" s="204"/>
      <c r="K102" s="204">
        <f t="shared" si="16"/>
        <v>0</v>
      </c>
      <c r="L102" s="204"/>
      <c r="M102" s="204"/>
      <c r="N102" s="204"/>
      <c r="O102" s="205">
        <v>0</v>
      </c>
      <c r="P102" s="204">
        <v>0</v>
      </c>
      <c r="Q102" s="204" t="e">
        <f>+#REF!</f>
        <v>#REF!</v>
      </c>
    </row>
    <row r="103" spans="1:17" hidden="1" x14ac:dyDescent="0.25">
      <c r="A103" s="215"/>
      <c r="B103" s="215"/>
      <c r="C103" s="199"/>
      <c r="D103" s="200"/>
      <c r="E103" s="201">
        <f t="shared" si="14"/>
        <v>0</v>
      </c>
      <c r="F103" s="202">
        <f t="shared" si="15"/>
        <v>0</v>
      </c>
      <c r="G103" s="203">
        <v>0</v>
      </c>
      <c r="H103" s="204">
        <f t="shared" si="8"/>
        <v>0</v>
      </c>
      <c r="I103" s="204">
        <f t="shared" si="9"/>
        <v>0</v>
      </c>
      <c r="J103" s="204"/>
      <c r="K103" s="204">
        <f t="shared" si="16"/>
        <v>0</v>
      </c>
      <c r="L103" s="204"/>
      <c r="M103" s="204"/>
      <c r="N103" s="204"/>
      <c r="O103" s="204">
        <v>0</v>
      </c>
      <c r="P103" s="204">
        <v>0</v>
      </c>
      <c r="Q103" s="204" t="e">
        <f>+#REF!</f>
        <v>#REF!</v>
      </c>
    </row>
    <row r="104" spans="1:17" hidden="1" x14ac:dyDescent="0.25">
      <c r="A104" s="215"/>
      <c r="B104" s="215"/>
      <c r="C104" s="199"/>
      <c r="D104" s="200"/>
      <c r="E104" s="201">
        <f t="shared" si="14"/>
        <v>0</v>
      </c>
      <c r="F104" s="202">
        <f t="shared" si="15"/>
        <v>0</v>
      </c>
      <c r="G104" s="203">
        <v>0</v>
      </c>
      <c r="H104" s="204">
        <f t="shared" si="8"/>
        <v>0</v>
      </c>
      <c r="I104" s="204">
        <f t="shared" si="9"/>
        <v>0</v>
      </c>
      <c r="J104" s="204"/>
      <c r="K104" s="204">
        <f t="shared" si="16"/>
        <v>0</v>
      </c>
      <c r="L104" s="204"/>
      <c r="M104" s="204"/>
      <c r="N104" s="204"/>
      <c r="O104" s="205">
        <v>0</v>
      </c>
      <c r="P104" s="204">
        <v>0</v>
      </c>
      <c r="Q104" s="204" t="e">
        <f>+#REF!</f>
        <v>#REF!</v>
      </c>
    </row>
    <row r="105" spans="1:17" hidden="1" x14ac:dyDescent="0.25">
      <c r="A105" s="215"/>
      <c r="B105" s="215"/>
      <c r="C105" s="199"/>
      <c r="D105" s="200"/>
      <c r="E105" s="201">
        <f t="shared" si="14"/>
        <v>0</v>
      </c>
      <c r="F105" s="202">
        <f t="shared" si="15"/>
        <v>0</v>
      </c>
      <c r="G105" s="203">
        <v>0</v>
      </c>
      <c r="H105" s="204">
        <f t="shared" si="8"/>
        <v>0</v>
      </c>
      <c r="I105" s="204">
        <f t="shared" si="9"/>
        <v>0</v>
      </c>
      <c r="J105" s="204"/>
      <c r="K105" s="204">
        <f t="shared" si="16"/>
        <v>0</v>
      </c>
      <c r="L105" s="204"/>
      <c r="M105" s="204"/>
      <c r="N105" s="204"/>
      <c r="O105" s="204">
        <v>0</v>
      </c>
      <c r="P105" s="204">
        <v>0</v>
      </c>
      <c r="Q105" s="204" t="e">
        <f>+#REF!</f>
        <v>#REF!</v>
      </c>
    </row>
    <row r="106" spans="1:17" hidden="1" x14ac:dyDescent="0.25">
      <c r="A106" s="215"/>
      <c r="B106" s="215"/>
      <c r="C106" s="199"/>
      <c r="D106" s="200"/>
      <c r="E106" s="201">
        <f t="shared" si="14"/>
        <v>0</v>
      </c>
      <c r="F106" s="202">
        <f t="shared" si="15"/>
        <v>0</v>
      </c>
      <c r="G106" s="203">
        <v>0</v>
      </c>
      <c r="H106" s="204">
        <f t="shared" si="8"/>
        <v>0</v>
      </c>
      <c r="I106" s="204">
        <f t="shared" si="9"/>
        <v>0</v>
      </c>
      <c r="J106" s="204"/>
      <c r="K106" s="204">
        <f t="shared" si="16"/>
        <v>0</v>
      </c>
      <c r="L106" s="204"/>
      <c r="M106" s="204"/>
      <c r="N106" s="204"/>
      <c r="O106" s="205">
        <v>0</v>
      </c>
      <c r="P106" s="204">
        <v>0</v>
      </c>
      <c r="Q106" s="204" t="e">
        <f>+#REF!</f>
        <v>#REF!</v>
      </c>
    </row>
    <row r="107" spans="1:17" hidden="1" x14ac:dyDescent="0.25">
      <c r="A107" s="215"/>
      <c r="B107" s="215"/>
      <c r="C107" s="199"/>
      <c r="D107" s="200"/>
      <c r="E107" s="201">
        <f t="shared" si="14"/>
        <v>0</v>
      </c>
      <c r="F107" s="202">
        <f t="shared" si="15"/>
        <v>0</v>
      </c>
      <c r="G107" s="203">
        <v>0</v>
      </c>
      <c r="H107" s="204">
        <f t="shared" si="8"/>
        <v>0</v>
      </c>
      <c r="I107" s="204">
        <f t="shared" si="9"/>
        <v>0</v>
      </c>
      <c r="J107" s="204"/>
      <c r="K107" s="204">
        <f t="shared" si="16"/>
        <v>0</v>
      </c>
      <c r="L107" s="204"/>
      <c r="M107" s="204"/>
      <c r="N107" s="204"/>
      <c r="O107" s="204">
        <v>0</v>
      </c>
      <c r="P107" s="204">
        <v>0</v>
      </c>
      <c r="Q107" s="204" t="e">
        <f>+#REF!</f>
        <v>#REF!</v>
      </c>
    </row>
    <row r="108" spans="1:17" hidden="1" x14ac:dyDescent="0.25">
      <c r="A108" s="215"/>
      <c r="B108" s="215"/>
      <c r="C108" s="199"/>
      <c r="D108" s="200"/>
      <c r="E108" s="201">
        <f t="shared" si="14"/>
        <v>0</v>
      </c>
      <c r="F108" s="202">
        <f t="shared" si="15"/>
        <v>0</v>
      </c>
      <c r="G108" s="203">
        <v>0</v>
      </c>
      <c r="H108" s="204">
        <f t="shared" si="8"/>
        <v>0</v>
      </c>
      <c r="I108" s="204">
        <f t="shared" si="9"/>
        <v>0</v>
      </c>
      <c r="J108" s="204"/>
      <c r="K108" s="204">
        <f t="shared" si="16"/>
        <v>0</v>
      </c>
      <c r="L108" s="204"/>
      <c r="M108" s="204"/>
      <c r="N108" s="204"/>
      <c r="O108" s="205">
        <v>0</v>
      </c>
      <c r="P108" s="204">
        <v>0</v>
      </c>
      <c r="Q108" s="204" t="e">
        <f>+#REF!</f>
        <v>#REF!</v>
      </c>
    </row>
    <row r="109" spans="1:17" hidden="1" x14ac:dyDescent="0.25">
      <c r="A109" s="215"/>
      <c r="B109" s="215"/>
      <c r="C109" s="199"/>
      <c r="D109" s="200"/>
      <c r="E109" s="201">
        <f t="shared" si="14"/>
        <v>0</v>
      </c>
      <c r="F109" s="202">
        <f t="shared" si="15"/>
        <v>0</v>
      </c>
      <c r="G109" s="203">
        <v>0</v>
      </c>
      <c r="H109" s="204">
        <f t="shared" si="8"/>
        <v>0</v>
      </c>
      <c r="I109" s="204">
        <f t="shared" si="9"/>
        <v>0</v>
      </c>
      <c r="J109" s="204"/>
      <c r="K109" s="204">
        <f t="shared" si="16"/>
        <v>0</v>
      </c>
      <c r="L109" s="204"/>
      <c r="M109" s="204"/>
      <c r="N109" s="204"/>
      <c r="O109" s="204">
        <v>0</v>
      </c>
      <c r="P109" s="204">
        <v>0</v>
      </c>
      <c r="Q109" s="204" t="e">
        <f>+#REF!</f>
        <v>#REF!</v>
      </c>
    </row>
    <row r="110" spans="1:17" hidden="1" x14ac:dyDescent="0.25">
      <c r="A110" s="215"/>
      <c r="B110" s="215"/>
      <c r="C110" s="199"/>
      <c r="D110" s="200"/>
      <c r="E110" s="201">
        <f t="shared" si="14"/>
        <v>0</v>
      </c>
      <c r="F110" s="202">
        <f t="shared" si="15"/>
        <v>0</v>
      </c>
      <c r="G110" s="203">
        <v>0</v>
      </c>
      <c r="H110" s="204">
        <f t="shared" si="8"/>
        <v>0</v>
      </c>
      <c r="I110" s="204">
        <f t="shared" si="9"/>
        <v>0</v>
      </c>
      <c r="J110" s="204"/>
      <c r="K110" s="204">
        <f t="shared" si="16"/>
        <v>0</v>
      </c>
      <c r="L110" s="204"/>
      <c r="M110" s="204"/>
      <c r="N110" s="204"/>
      <c r="O110" s="205">
        <v>0</v>
      </c>
      <c r="P110" s="204">
        <v>0</v>
      </c>
      <c r="Q110" s="204" t="e">
        <f>+#REF!</f>
        <v>#REF!</v>
      </c>
    </row>
    <row r="111" spans="1:17" hidden="1" x14ac:dyDescent="0.25">
      <c r="A111" s="215"/>
      <c r="B111" s="215"/>
      <c r="C111" s="199"/>
      <c r="D111" s="200"/>
      <c r="E111" s="201">
        <f t="shared" si="14"/>
        <v>0</v>
      </c>
      <c r="F111" s="202">
        <f t="shared" si="15"/>
        <v>0</v>
      </c>
      <c r="G111" s="203">
        <v>0</v>
      </c>
      <c r="H111" s="204">
        <f t="shared" si="8"/>
        <v>0</v>
      </c>
      <c r="I111" s="204">
        <f t="shared" si="9"/>
        <v>0</v>
      </c>
      <c r="J111" s="204"/>
      <c r="K111" s="204">
        <f t="shared" si="16"/>
        <v>0</v>
      </c>
      <c r="L111" s="204"/>
      <c r="M111" s="204"/>
      <c r="N111" s="204"/>
      <c r="O111" s="204">
        <v>0</v>
      </c>
      <c r="P111" s="204">
        <v>0</v>
      </c>
      <c r="Q111" s="204" t="e">
        <f>+#REF!</f>
        <v>#REF!</v>
      </c>
    </row>
    <row r="112" spans="1:17" s="151" customFormat="1" hidden="1" x14ac:dyDescent="0.25">
      <c r="A112" s="215"/>
      <c r="B112" s="215"/>
      <c r="C112" s="199"/>
      <c r="D112" s="200"/>
      <c r="E112" s="201">
        <f t="shared" si="14"/>
        <v>0</v>
      </c>
      <c r="F112" s="202">
        <f t="shared" si="15"/>
        <v>0</v>
      </c>
      <c r="G112" s="203">
        <v>0</v>
      </c>
      <c r="H112" s="204">
        <f t="shared" ref="H112:H130" si="17">+G112*12</f>
        <v>0</v>
      </c>
      <c r="I112" s="204">
        <f t="shared" ref="I112:I130" si="18">(G112/30*10)</f>
        <v>0</v>
      </c>
      <c r="J112" s="204"/>
      <c r="K112" s="204">
        <f t="shared" si="16"/>
        <v>0</v>
      </c>
      <c r="L112" s="204"/>
      <c r="M112" s="204"/>
      <c r="N112" s="204"/>
      <c r="O112" s="205">
        <v>0</v>
      </c>
      <c r="P112" s="204">
        <v>0</v>
      </c>
      <c r="Q112" s="204" t="e">
        <f>+#REF!</f>
        <v>#REF!</v>
      </c>
    </row>
    <row r="113" spans="1:17" s="173" customFormat="1" hidden="1" x14ac:dyDescent="0.25">
      <c r="A113" s="215"/>
      <c r="B113" s="215"/>
      <c r="C113" s="199"/>
      <c r="D113" s="200"/>
      <c r="E113" s="201">
        <f t="shared" si="14"/>
        <v>0</v>
      </c>
      <c r="F113" s="202">
        <f t="shared" si="15"/>
        <v>0</v>
      </c>
      <c r="G113" s="203">
        <v>0</v>
      </c>
      <c r="H113" s="204">
        <f t="shared" si="17"/>
        <v>0</v>
      </c>
      <c r="I113" s="204">
        <f t="shared" si="18"/>
        <v>0</v>
      </c>
      <c r="J113" s="204"/>
      <c r="K113" s="204">
        <f t="shared" si="16"/>
        <v>0</v>
      </c>
      <c r="L113" s="204"/>
      <c r="M113" s="204"/>
      <c r="N113" s="204"/>
      <c r="O113" s="204">
        <v>0</v>
      </c>
      <c r="P113" s="204">
        <v>0</v>
      </c>
      <c r="Q113" s="204" t="e">
        <f>+#REF!</f>
        <v>#REF!</v>
      </c>
    </row>
    <row r="114" spans="1:17" s="173" customFormat="1" hidden="1" x14ac:dyDescent="0.25">
      <c r="A114" s="215"/>
      <c r="B114" s="215"/>
      <c r="C114" s="199"/>
      <c r="D114" s="200"/>
      <c r="E114" s="201">
        <f t="shared" si="14"/>
        <v>0</v>
      </c>
      <c r="F114" s="202">
        <f t="shared" si="15"/>
        <v>0</v>
      </c>
      <c r="G114" s="203">
        <v>0</v>
      </c>
      <c r="H114" s="204">
        <f t="shared" si="17"/>
        <v>0</v>
      </c>
      <c r="I114" s="204">
        <f t="shared" si="18"/>
        <v>0</v>
      </c>
      <c r="J114" s="204"/>
      <c r="K114" s="204">
        <f t="shared" si="16"/>
        <v>0</v>
      </c>
      <c r="L114" s="204"/>
      <c r="M114" s="204"/>
      <c r="N114" s="204"/>
      <c r="O114" s="205">
        <v>0</v>
      </c>
      <c r="P114" s="204">
        <v>0</v>
      </c>
      <c r="Q114" s="204" t="e">
        <f>+#REF!</f>
        <v>#REF!</v>
      </c>
    </row>
    <row r="115" spans="1:17" s="173" customFormat="1" hidden="1" x14ac:dyDescent="0.25">
      <c r="A115" s="215"/>
      <c r="B115" s="215"/>
      <c r="C115" s="199"/>
      <c r="D115" s="200"/>
      <c r="E115" s="201">
        <f t="shared" si="14"/>
        <v>0</v>
      </c>
      <c r="F115" s="202">
        <f t="shared" si="15"/>
        <v>0</v>
      </c>
      <c r="G115" s="203">
        <v>0</v>
      </c>
      <c r="H115" s="204">
        <f t="shared" si="17"/>
        <v>0</v>
      </c>
      <c r="I115" s="204">
        <f t="shared" si="18"/>
        <v>0</v>
      </c>
      <c r="J115" s="204"/>
      <c r="K115" s="204">
        <f t="shared" si="16"/>
        <v>0</v>
      </c>
      <c r="L115" s="204"/>
      <c r="M115" s="204"/>
      <c r="N115" s="204"/>
      <c r="O115" s="204">
        <v>0</v>
      </c>
      <c r="P115" s="204">
        <v>0</v>
      </c>
      <c r="Q115" s="204" t="e">
        <f>+#REF!</f>
        <v>#REF!</v>
      </c>
    </row>
    <row r="116" spans="1:17" s="173" customFormat="1" hidden="1" x14ac:dyDescent="0.25">
      <c r="A116" s="215"/>
      <c r="B116" s="215"/>
      <c r="C116" s="199"/>
      <c r="D116" s="200"/>
      <c r="E116" s="201">
        <f t="shared" si="14"/>
        <v>0</v>
      </c>
      <c r="F116" s="202">
        <f t="shared" si="15"/>
        <v>0</v>
      </c>
      <c r="G116" s="203">
        <v>0</v>
      </c>
      <c r="H116" s="204">
        <f t="shared" si="17"/>
        <v>0</v>
      </c>
      <c r="I116" s="204">
        <f t="shared" si="18"/>
        <v>0</v>
      </c>
      <c r="J116" s="204"/>
      <c r="K116" s="204">
        <f t="shared" si="16"/>
        <v>0</v>
      </c>
      <c r="L116" s="204"/>
      <c r="M116" s="204"/>
      <c r="N116" s="204"/>
      <c r="O116" s="205">
        <v>0</v>
      </c>
      <c r="P116" s="204">
        <v>0</v>
      </c>
      <c r="Q116" s="204" t="e">
        <f>+#REF!</f>
        <v>#REF!</v>
      </c>
    </row>
    <row r="117" spans="1:17" s="173" customFormat="1" hidden="1" x14ac:dyDescent="0.25">
      <c r="A117" s="215"/>
      <c r="B117" s="215"/>
      <c r="C117" s="199"/>
      <c r="D117" s="206"/>
      <c r="E117" s="201">
        <f>+G117/30</f>
        <v>0</v>
      </c>
      <c r="F117" s="202">
        <f>+E117*1.0452</f>
        <v>0</v>
      </c>
      <c r="G117" s="203">
        <v>0</v>
      </c>
      <c r="H117" s="204">
        <f>+G117*12</f>
        <v>0</v>
      </c>
      <c r="I117" s="204">
        <f>(G117/30*10)</f>
        <v>0</v>
      </c>
      <c r="J117" s="204"/>
      <c r="K117" s="204">
        <f t="shared" si="16"/>
        <v>0</v>
      </c>
      <c r="L117" s="204"/>
      <c r="M117" s="204"/>
      <c r="N117" s="204"/>
      <c r="O117" s="204">
        <v>0</v>
      </c>
      <c r="P117" s="204">
        <v>0</v>
      </c>
      <c r="Q117" s="204" t="e">
        <f>+#REF!</f>
        <v>#REF!</v>
      </c>
    </row>
    <row r="118" spans="1:17" s="173" customFormat="1" hidden="1" x14ac:dyDescent="0.25">
      <c r="A118" s="215"/>
      <c r="B118" s="215"/>
      <c r="C118" s="199"/>
      <c r="D118" s="206"/>
      <c r="E118" s="201">
        <f>+G118/30</f>
        <v>0</v>
      </c>
      <c r="F118" s="202">
        <f>+E118*1.0452</f>
        <v>0</v>
      </c>
      <c r="G118" s="203">
        <v>0</v>
      </c>
      <c r="H118" s="204">
        <f>+G118*12</f>
        <v>0</v>
      </c>
      <c r="I118" s="204">
        <f>(G118/30*10)</f>
        <v>0</v>
      </c>
      <c r="J118" s="204"/>
      <c r="K118" s="204">
        <f t="shared" si="16"/>
        <v>0</v>
      </c>
      <c r="L118" s="204"/>
      <c r="M118" s="204"/>
      <c r="N118" s="204"/>
      <c r="O118" s="205">
        <v>0</v>
      </c>
      <c r="P118" s="204">
        <v>0</v>
      </c>
      <c r="Q118" s="204" t="e">
        <f>+#REF!</f>
        <v>#REF!</v>
      </c>
    </row>
    <row r="119" spans="1:17" s="173" customFormat="1" hidden="1" x14ac:dyDescent="0.25">
      <c r="A119" s="215"/>
      <c r="B119" s="215"/>
      <c r="C119" s="199"/>
      <c r="D119" s="206"/>
      <c r="E119" s="201">
        <f>+G119/30</f>
        <v>0</v>
      </c>
      <c r="F119" s="202">
        <f>+E119*1.0452</f>
        <v>0</v>
      </c>
      <c r="G119" s="203">
        <v>0</v>
      </c>
      <c r="H119" s="204">
        <f>+G119*12</f>
        <v>0</v>
      </c>
      <c r="I119" s="204">
        <f>(G119/30*10)</f>
        <v>0</v>
      </c>
      <c r="J119" s="204"/>
      <c r="K119" s="204">
        <f t="shared" si="16"/>
        <v>0</v>
      </c>
      <c r="L119" s="204"/>
      <c r="M119" s="204"/>
      <c r="N119" s="204"/>
      <c r="O119" s="204">
        <v>0</v>
      </c>
      <c r="P119" s="204">
        <v>0</v>
      </c>
      <c r="Q119" s="204" t="e">
        <f>+#REF!</f>
        <v>#REF!</v>
      </c>
    </row>
    <row r="120" spans="1:17" s="173" customFormat="1" hidden="1" x14ac:dyDescent="0.25">
      <c r="A120" s="215"/>
      <c r="B120" s="215"/>
      <c r="C120" s="199"/>
      <c r="D120" s="206"/>
      <c r="E120" s="201">
        <f>+G120/30</f>
        <v>0</v>
      </c>
      <c r="F120" s="202">
        <f>+E120*1.0452</f>
        <v>0</v>
      </c>
      <c r="G120" s="203">
        <v>0</v>
      </c>
      <c r="H120" s="204">
        <f>+G120*12</f>
        <v>0</v>
      </c>
      <c r="I120" s="204">
        <f>(G120/30*10)</f>
        <v>0</v>
      </c>
      <c r="J120" s="204"/>
      <c r="K120" s="204">
        <f t="shared" si="16"/>
        <v>0</v>
      </c>
      <c r="L120" s="204"/>
      <c r="M120" s="204"/>
      <c r="N120" s="204"/>
      <c r="O120" s="205">
        <v>0</v>
      </c>
      <c r="P120" s="204">
        <v>0</v>
      </c>
      <c r="Q120" s="204" t="e">
        <f>+#REF!</f>
        <v>#REF!</v>
      </c>
    </row>
    <row r="121" spans="1:17" s="173" customFormat="1" hidden="1" x14ac:dyDescent="0.25">
      <c r="A121" s="216"/>
      <c r="B121" s="216"/>
      <c r="C121" s="199"/>
      <c r="D121" s="200"/>
      <c r="E121" s="201">
        <f t="shared" si="14"/>
        <v>0</v>
      </c>
      <c r="F121" s="202">
        <f t="shared" si="15"/>
        <v>0</v>
      </c>
      <c r="G121" s="203">
        <v>0</v>
      </c>
      <c r="H121" s="204">
        <f t="shared" si="17"/>
        <v>0</v>
      </c>
      <c r="I121" s="204">
        <f t="shared" si="18"/>
        <v>0</v>
      </c>
      <c r="J121" s="204"/>
      <c r="K121" s="204">
        <f t="shared" si="16"/>
        <v>0</v>
      </c>
      <c r="L121" s="204"/>
      <c r="M121" s="204"/>
      <c r="N121" s="204"/>
      <c r="O121" s="204">
        <v>0</v>
      </c>
      <c r="P121" s="204">
        <v>0</v>
      </c>
      <c r="Q121" s="204" t="e">
        <f>+#REF!</f>
        <v>#REF!</v>
      </c>
    </row>
    <row r="122" spans="1:17" s="173" customFormat="1" hidden="1" x14ac:dyDescent="0.25">
      <c r="A122" s="216"/>
      <c r="B122" s="216"/>
      <c r="C122" s="199"/>
      <c r="D122" s="206"/>
      <c r="E122" s="201">
        <f t="shared" si="14"/>
        <v>0</v>
      </c>
      <c r="F122" s="202">
        <f t="shared" si="15"/>
        <v>0</v>
      </c>
      <c r="G122" s="203">
        <v>0</v>
      </c>
      <c r="H122" s="204">
        <f t="shared" si="17"/>
        <v>0</v>
      </c>
      <c r="I122" s="204">
        <f t="shared" si="18"/>
        <v>0</v>
      </c>
      <c r="J122" s="204"/>
      <c r="K122" s="204">
        <f t="shared" si="16"/>
        <v>0</v>
      </c>
      <c r="L122" s="204"/>
      <c r="M122" s="204"/>
      <c r="N122" s="204"/>
      <c r="O122" s="205">
        <v>0</v>
      </c>
      <c r="P122" s="204">
        <v>0</v>
      </c>
      <c r="Q122" s="204" t="e">
        <f>+#REF!</f>
        <v>#REF!</v>
      </c>
    </row>
    <row r="123" spans="1:17" s="173" customFormat="1" hidden="1" x14ac:dyDescent="0.25">
      <c r="A123" s="216"/>
      <c r="B123" s="216"/>
      <c r="C123" s="199"/>
      <c r="D123" s="200"/>
      <c r="E123" s="201">
        <f t="shared" si="14"/>
        <v>0</v>
      </c>
      <c r="F123" s="202">
        <f t="shared" si="15"/>
        <v>0</v>
      </c>
      <c r="G123" s="203">
        <v>0</v>
      </c>
      <c r="H123" s="204">
        <f t="shared" si="17"/>
        <v>0</v>
      </c>
      <c r="I123" s="204">
        <f t="shared" si="18"/>
        <v>0</v>
      </c>
      <c r="J123" s="204"/>
      <c r="K123" s="204">
        <f t="shared" si="16"/>
        <v>0</v>
      </c>
      <c r="L123" s="204"/>
      <c r="M123" s="204"/>
      <c r="N123" s="204"/>
      <c r="O123" s="204">
        <v>0</v>
      </c>
      <c r="P123" s="204">
        <v>0</v>
      </c>
      <c r="Q123" s="204" t="e">
        <f>+#REF!</f>
        <v>#REF!</v>
      </c>
    </row>
    <row r="124" spans="1:17" s="173" customFormat="1" hidden="1" x14ac:dyDescent="0.25">
      <c r="A124" s="216"/>
      <c r="B124" s="216"/>
      <c r="C124" s="199"/>
      <c r="D124" s="200"/>
      <c r="E124" s="201">
        <f t="shared" si="14"/>
        <v>0</v>
      </c>
      <c r="F124" s="202">
        <f t="shared" si="15"/>
        <v>0</v>
      </c>
      <c r="G124" s="203">
        <v>0</v>
      </c>
      <c r="H124" s="204">
        <f t="shared" si="17"/>
        <v>0</v>
      </c>
      <c r="I124" s="204">
        <f t="shared" si="18"/>
        <v>0</v>
      </c>
      <c r="J124" s="204"/>
      <c r="K124" s="204">
        <f t="shared" si="16"/>
        <v>0</v>
      </c>
      <c r="L124" s="204"/>
      <c r="M124" s="204"/>
      <c r="N124" s="204"/>
      <c r="O124" s="205">
        <v>0</v>
      </c>
      <c r="P124" s="204">
        <v>0</v>
      </c>
      <c r="Q124" s="204" t="e">
        <f>+#REF!</f>
        <v>#REF!</v>
      </c>
    </row>
    <row r="125" spans="1:17" s="173" customFormat="1" hidden="1" x14ac:dyDescent="0.25">
      <c r="A125" s="216"/>
      <c r="B125" s="216"/>
      <c r="C125" s="199"/>
      <c r="D125" s="200"/>
      <c r="E125" s="201">
        <f t="shared" si="14"/>
        <v>0</v>
      </c>
      <c r="F125" s="202">
        <f t="shared" si="15"/>
        <v>0</v>
      </c>
      <c r="G125" s="203">
        <v>0</v>
      </c>
      <c r="H125" s="204">
        <f t="shared" si="17"/>
        <v>0</v>
      </c>
      <c r="I125" s="204">
        <f t="shared" si="18"/>
        <v>0</v>
      </c>
      <c r="J125" s="204"/>
      <c r="K125" s="204">
        <f t="shared" si="16"/>
        <v>0</v>
      </c>
      <c r="L125" s="204"/>
      <c r="M125" s="204"/>
      <c r="N125" s="204"/>
      <c r="O125" s="204">
        <v>0</v>
      </c>
      <c r="P125" s="204">
        <v>0</v>
      </c>
      <c r="Q125" s="204" t="e">
        <f>+#REF!</f>
        <v>#REF!</v>
      </c>
    </row>
    <row r="126" spans="1:17" s="173" customFormat="1" hidden="1" x14ac:dyDescent="0.25">
      <c r="A126" s="216"/>
      <c r="B126" s="216"/>
      <c r="C126" s="199"/>
      <c r="D126" s="200"/>
      <c r="E126" s="201">
        <f t="shared" si="14"/>
        <v>0</v>
      </c>
      <c r="F126" s="202">
        <f t="shared" si="15"/>
        <v>0</v>
      </c>
      <c r="G126" s="203">
        <v>0</v>
      </c>
      <c r="H126" s="204">
        <f t="shared" si="17"/>
        <v>0</v>
      </c>
      <c r="I126" s="204">
        <f t="shared" si="18"/>
        <v>0</v>
      </c>
      <c r="J126" s="204"/>
      <c r="K126" s="204">
        <f t="shared" si="16"/>
        <v>0</v>
      </c>
      <c r="L126" s="204"/>
      <c r="M126" s="204"/>
      <c r="N126" s="204"/>
      <c r="O126" s="205">
        <v>0</v>
      </c>
      <c r="P126" s="204">
        <v>0</v>
      </c>
      <c r="Q126" s="204" t="e">
        <f>+#REF!</f>
        <v>#REF!</v>
      </c>
    </row>
    <row r="127" spans="1:17" s="173" customFormat="1" hidden="1" x14ac:dyDescent="0.25">
      <c r="A127" s="216"/>
      <c r="B127" s="216"/>
      <c r="C127" s="199"/>
      <c r="D127" s="200"/>
      <c r="E127" s="201">
        <f t="shared" si="14"/>
        <v>0</v>
      </c>
      <c r="F127" s="202">
        <f t="shared" si="15"/>
        <v>0</v>
      </c>
      <c r="G127" s="203">
        <v>0</v>
      </c>
      <c r="H127" s="204">
        <f t="shared" si="17"/>
        <v>0</v>
      </c>
      <c r="I127" s="204">
        <f t="shared" si="18"/>
        <v>0</v>
      </c>
      <c r="J127" s="204"/>
      <c r="K127" s="204">
        <f t="shared" si="16"/>
        <v>0</v>
      </c>
      <c r="L127" s="204"/>
      <c r="M127" s="204"/>
      <c r="N127" s="204"/>
      <c r="O127" s="204">
        <v>0</v>
      </c>
      <c r="P127" s="204">
        <v>0</v>
      </c>
      <c r="Q127" s="204" t="e">
        <f>+#REF!</f>
        <v>#REF!</v>
      </c>
    </row>
    <row r="128" spans="1:17" s="173" customFormat="1" hidden="1" x14ac:dyDescent="0.25">
      <c r="A128" s="216"/>
      <c r="B128" s="216"/>
      <c r="C128" s="199"/>
      <c r="D128" s="200"/>
      <c r="E128" s="201">
        <f t="shared" si="14"/>
        <v>0</v>
      </c>
      <c r="F128" s="202">
        <f t="shared" si="15"/>
        <v>0</v>
      </c>
      <c r="G128" s="203">
        <v>0</v>
      </c>
      <c r="H128" s="204">
        <f t="shared" si="17"/>
        <v>0</v>
      </c>
      <c r="I128" s="204">
        <f t="shared" si="18"/>
        <v>0</v>
      </c>
      <c r="J128" s="204"/>
      <c r="K128" s="204">
        <f t="shared" si="16"/>
        <v>0</v>
      </c>
      <c r="L128" s="204"/>
      <c r="M128" s="204"/>
      <c r="N128" s="204"/>
      <c r="O128" s="205">
        <v>0</v>
      </c>
      <c r="P128" s="204">
        <v>0</v>
      </c>
      <c r="Q128" s="204" t="e">
        <f>+#REF!</f>
        <v>#REF!</v>
      </c>
    </row>
    <row r="129" spans="1:17" s="173" customFormat="1" hidden="1" x14ac:dyDescent="0.25">
      <c r="A129" s="216"/>
      <c r="B129" s="216"/>
      <c r="C129" s="199"/>
      <c r="D129" s="200"/>
      <c r="E129" s="201">
        <f t="shared" si="14"/>
        <v>0</v>
      </c>
      <c r="F129" s="202">
        <f t="shared" si="15"/>
        <v>0</v>
      </c>
      <c r="G129" s="203">
        <v>0</v>
      </c>
      <c r="H129" s="204">
        <f t="shared" si="17"/>
        <v>0</v>
      </c>
      <c r="I129" s="204">
        <f t="shared" si="18"/>
        <v>0</v>
      </c>
      <c r="J129" s="204"/>
      <c r="K129" s="204">
        <f t="shared" si="16"/>
        <v>0</v>
      </c>
      <c r="L129" s="204"/>
      <c r="M129" s="204"/>
      <c r="N129" s="204"/>
      <c r="O129" s="204">
        <v>0</v>
      </c>
      <c r="P129" s="204">
        <v>0</v>
      </c>
      <c r="Q129" s="204" t="e">
        <f>+#REF!</f>
        <v>#REF!</v>
      </c>
    </row>
    <row r="130" spans="1:17" s="173" customFormat="1" hidden="1" x14ac:dyDescent="0.25">
      <c r="A130" s="216"/>
      <c r="B130" s="216"/>
      <c r="C130" s="199"/>
      <c r="D130" s="200"/>
      <c r="E130" s="201">
        <f t="shared" si="14"/>
        <v>0</v>
      </c>
      <c r="F130" s="202">
        <f t="shared" si="15"/>
        <v>0</v>
      </c>
      <c r="G130" s="203">
        <v>0</v>
      </c>
      <c r="H130" s="204">
        <f t="shared" si="17"/>
        <v>0</v>
      </c>
      <c r="I130" s="204">
        <f t="shared" si="18"/>
        <v>0</v>
      </c>
      <c r="J130" s="204"/>
      <c r="K130" s="204">
        <f t="shared" si="16"/>
        <v>0</v>
      </c>
      <c r="L130" s="204"/>
      <c r="M130" s="204"/>
      <c r="N130" s="204"/>
      <c r="O130" s="205">
        <v>0</v>
      </c>
      <c r="P130" s="204">
        <v>0</v>
      </c>
      <c r="Q130" s="204" t="e">
        <f>+#REF!</f>
        <v>#REF!</v>
      </c>
    </row>
    <row r="131" spans="1:17" s="173" customFormat="1" hidden="1" x14ac:dyDescent="0.25">
      <c r="A131" s="216"/>
      <c r="B131" s="216"/>
      <c r="C131" s="199"/>
      <c r="D131" s="200"/>
      <c r="E131" s="201">
        <f>+G131/30</f>
        <v>0</v>
      </c>
      <c r="F131" s="202">
        <f>+E131*1.0452</f>
        <v>0</v>
      </c>
      <c r="G131" s="203">
        <v>0</v>
      </c>
      <c r="H131" s="204">
        <f>+G131*12</f>
        <v>0</v>
      </c>
      <c r="I131" s="204">
        <f>(G131/30*10)</f>
        <v>0</v>
      </c>
      <c r="J131" s="204"/>
      <c r="K131" s="204">
        <f t="shared" si="16"/>
        <v>0</v>
      </c>
      <c r="L131" s="204"/>
      <c r="M131" s="204"/>
      <c r="N131" s="204"/>
      <c r="O131" s="204">
        <v>0</v>
      </c>
      <c r="P131" s="204">
        <v>0</v>
      </c>
      <c r="Q131" s="204" t="e">
        <f>+#REF!</f>
        <v>#REF!</v>
      </c>
    </row>
    <row r="132" spans="1:17" s="173" customFormat="1" hidden="1" x14ac:dyDescent="0.25">
      <c r="A132" s="216"/>
      <c r="B132" s="216"/>
      <c r="C132" s="199"/>
      <c r="D132" s="200"/>
      <c r="E132" s="201">
        <f>+G132/30</f>
        <v>0</v>
      </c>
      <c r="F132" s="202">
        <f>+E132*1.0452</f>
        <v>0</v>
      </c>
      <c r="G132" s="203">
        <v>0</v>
      </c>
      <c r="H132" s="204">
        <f>+G132*12</f>
        <v>0</v>
      </c>
      <c r="I132" s="204">
        <f>(G132/30*10)</f>
        <v>0</v>
      </c>
      <c r="J132" s="204"/>
      <c r="K132" s="204">
        <f t="shared" si="16"/>
        <v>0</v>
      </c>
      <c r="L132" s="204"/>
      <c r="M132" s="204"/>
      <c r="N132" s="204"/>
      <c r="O132" s="205">
        <v>0</v>
      </c>
      <c r="P132" s="204">
        <v>0</v>
      </c>
      <c r="Q132" s="204" t="e">
        <f>+#REF!</f>
        <v>#REF!</v>
      </c>
    </row>
    <row r="133" spans="1:17" s="173" customFormat="1" hidden="1" x14ac:dyDescent="0.25">
      <c r="A133" s="217"/>
      <c r="B133" s="217"/>
      <c r="C133" s="199"/>
      <c r="D133" s="200"/>
      <c r="E133" s="201">
        <f t="shared" ref="E133:E140" si="19">+G133/30</f>
        <v>0</v>
      </c>
      <c r="F133" s="202">
        <f t="shared" ref="F133:F140" si="20">+E133*1.0452</f>
        <v>0</v>
      </c>
      <c r="G133" s="203">
        <v>0</v>
      </c>
      <c r="H133" s="204">
        <f t="shared" ref="H133:H140" si="21">+G133*7</f>
        <v>0</v>
      </c>
      <c r="I133" s="204">
        <f>(G133/30*6)</f>
        <v>0</v>
      </c>
      <c r="J133" s="204"/>
      <c r="K133" s="204">
        <f t="shared" ref="K133:K140" si="22">(G133/30*29)</f>
        <v>0</v>
      </c>
      <c r="L133" s="204"/>
      <c r="M133" s="204"/>
      <c r="N133" s="204"/>
      <c r="O133" s="204">
        <v>0</v>
      </c>
      <c r="P133" s="204">
        <v>0</v>
      </c>
      <c r="Q133" s="204" t="e">
        <f>+#REF!</f>
        <v>#REF!</v>
      </c>
    </row>
    <row r="134" spans="1:17" s="173" customFormat="1" hidden="1" x14ac:dyDescent="0.25">
      <c r="A134" s="217"/>
      <c r="B134" s="217"/>
      <c r="C134" s="199"/>
      <c r="D134" s="200"/>
      <c r="E134" s="201">
        <f t="shared" si="19"/>
        <v>0</v>
      </c>
      <c r="F134" s="202">
        <f t="shared" si="20"/>
        <v>0</v>
      </c>
      <c r="G134" s="203">
        <v>0</v>
      </c>
      <c r="H134" s="204">
        <f t="shared" si="21"/>
        <v>0</v>
      </c>
      <c r="I134" s="204">
        <f t="shared" ref="I134:I140" si="23">(G134/30*6)</f>
        <v>0</v>
      </c>
      <c r="J134" s="204"/>
      <c r="K134" s="204">
        <f t="shared" si="22"/>
        <v>0</v>
      </c>
      <c r="L134" s="204"/>
      <c r="M134" s="204"/>
      <c r="N134" s="204"/>
      <c r="O134" s="205">
        <v>0</v>
      </c>
      <c r="P134" s="204">
        <v>0</v>
      </c>
      <c r="Q134" s="204" t="e">
        <f>+#REF!</f>
        <v>#REF!</v>
      </c>
    </row>
    <row r="135" spans="1:17" s="173" customFormat="1" hidden="1" x14ac:dyDescent="0.25">
      <c r="A135" s="217"/>
      <c r="B135" s="217"/>
      <c r="C135" s="199"/>
      <c r="D135" s="200"/>
      <c r="E135" s="201">
        <f t="shared" si="19"/>
        <v>0</v>
      </c>
      <c r="F135" s="202">
        <f t="shared" si="20"/>
        <v>0</v>
      </c>
      <c r="G135" s="203">
        <v>0</v>
      </c>
      <c r="H135" s="204">
        <f t="shared" si="21"/>
        <v>0</v>
      </c>
      <c r="I135" s="204">
        <f t="shared" si="23"/>
        <v>0</v>
      </c>
      <c r="J135" s="204"/>
      <c r="K135" s="204">
        <f t="shared" si="22"/>
        <v>0</v>
      </c>
      <c r="L135" s="204"/>
      <c r="M135" s="204"/>
      <c r="N135" s="204"/>
      <c r="O135" s="204">
        <v>0</v>
      </c>
      <c r="P135" s="204">
        <v>0</v>
      </c>
      <c r="Q135" s="204" t="e">
        <f>+#REF!</f>
        <v>#REF!</v>
      </c>
    </row>
    <row r="136" spans="1:17" s="173" customFormat="1" hidden="1" x14ac:dyDescent="0.25">
      <c r="A136" s="217"/>
      <c r="B136" s="217"/>
      <c r="C136" s="199"/>
      <c r="D136" s="200"/>
      <c r="E136" s="201">
        <f t="shared" si="19"/>
        <v>0</v>
      </c>
      <c r="F136" s="202">
        <f t="shared" si="20"/>
        <v>0</v>
      </c>
      <c r="G136" s="203">
        <v>0</v>
      </c>
      <c r="H136" s="204">
        <f t="shared" si="21"/>
        <v>0</v>
      </c>
      <c r="I136" s="204">
        <f t="shared" si="23"/>
        <v>0</v>
      </c>
      <c r="J136" s="204"/>
      <c r="K136" s="204">
        <f t="shared" si="22"/>
        <v>0</v>
      </c>
      <c r="L136" s="204"/>
      <c r="M136" s="204"/>
      <c r="N136" s="204"/>
      <c r="O136" s="205">
        <v>0</v>
      </c>
      <c r="P136" s="204">
        <v>0</v>
      </c>
      <c r="Q136" s="204" t="e">
        <f>+#REF!</f>
        <v>#REF!</v>
      </c>
    </row>
    <row r="137" spans="1:17" s="173" customFormat="1" hidden="1" x14ac:dyDescent="0.25">
      <c r="A137" s="217"/>
      <c r="B137" s="217"/>
      <c r="C137" s="199"/>
      <c r="D137" s="200"/>
      <c r="E137" s="201">
        <f t="shared" si="19"/>
        <v>0</v>
      </c>
      <c r="F137" s="202">
        <f t="shared" si="20"/>
        <v>0</v>
      </c>
      <c r="G137" s="203">
        <v>0</v>
      </c>
      <c r="H137" s="204">
        <f t="shared" si="21"/>
        <v>0</v>
      </c>
      <c r="I137" s="204">
        <f t="shared" si="23"/>
        <v>0</v>
      </c>
      <c r="J137" s="204"/>
      <c r="K137" s="204">
        <f t="shared" si="22"/>
        <v>0</v>
      </c>
      <c r="L137" s="204"/>
      <c r="M137" s="204"/>
      <c r="N137" s="204"/>
      <c r="O137" s="204">
        <v>0</v>
      </c>
      <c r="P137" s="204">
        <v>0</v>
      </c>
      <c r="Q137" s="204" t="e">
        <f>+#REF!</f>
        <v>#REF!</v>
      </c>
    </row>
    <row r="138" spans="1:17" s="173" customFormat="1" hidden="1" x14ac:dyDescent="0.25">
      <c r="A138" s="217"/>
      <c r="B138" s="217"/>
      <c r="C138" s="199"/>
      <c r="D138" s="200"/>
      <c r="E138" s="201">
        <f t="shared" si="19"/>
        <v>0</v>
      </c>
      <c r="F138" s="202">
        <f t="shared" si="20"/>
        <v>0</v>
      </c>
      <c r="G138" s="203">
        <v>0</v>
      </c>
      <c r="H138" s="204">
        <f t="shared" si="21"/>
        <v>0</v>
      </c>
      <c r="I138" s="204">
        <f t="shared" si="23"/>
        <v>0</v>
      </c>
      <c r="J138" s="204"/>
      <c r="K138" s="204">
        <f t="shared" si="22"/>
        <v>0</v>
      </c>
      <c r="L138" s="204"/>
      <c r="M138" s="204"/>
      <c r="N138" s="204"/>
      <c r="O138" s="205">
        <v>0</v>
      </c>
      <c r="P138" s="204">
        <v>0</v>
      </c>
      <c r="Q138" s="204" t="e">
        <f>+#REF!</f>
        <v>#REF!</v>
      </c>
    </row>
    <row r="139" spans="1:17" s="173" customFormat="1" hidden="1" x14ac:dyDescent="0.25">
      <c r="A139" s="217"/>
      <c r="B139" s="217"/>
      <c r="C139" s="199"/>
      <c r="D139" s="200"/>
      <c r="E139" s="201">
        <f t="shared" si="19"/>
        <v>0</v>
      </c>
      <c r="F139" s="202">
        <f t="shared" si="20"/>
        <v>0</v>
      </c>
      <c r="G139" s="203">
        <v>0</v>
      </c>
      <c r="H139" s="204">
        <f t="shared" si="21"/>
        <v>0</v>
      </c>
      <c r="I139" s="204">
        <f t="shared" si="23"/>
        <v>0</v>
      </c>
      <c r="J139" s="204"/>
      <c r="K139" s="204">
        <f t="shared" si="22"/>
        <v>0</v>
      </c>
      <c r="L139" s="204"/>
      <c r="M139" s="204"/>
      <c r="N139" s="204"/>
      <c r="O139" s="204">
        <v>0</v>
      </c>
      <c r="P139" s="204">
        <v>0</v>
      </c>
      <c r="Q139" s="204" t="e">
        <f>+#REF!</f>
        <v>#REF!</v>
      </c>
    </row>
    <row r="140" spans="1:17" s="173" customFormat="1" hidden="1" x14ac:dyDescent="0.25">
      <c r="A140" s="217"/>
      <c r="B140" s="217"/>
      <c r="C140" s="199"/>
      <c r="D140" s="200"/>
      <c r="E140" s="201">
        <f t="shared" si="19"/>
        <v>0</v>
      </c>
      <c r="F140" s="202">
        <f t="shared" si="20"/>
        <v>0</v>
      </c>
      <c r="G140" s="203">
        <v>0</v>
      </c>
      <c r="H140" s="204">
        <f t="shared" si="21"/>
        <v>0</v>
      </c>
      <c r="I140" s="204">
        <f t="shared" si="23"/>
        <v>0</v>
      </c>
      <c r="J140" s="204"/>
      <c r="K140" s="204">
        <f t="shared" si="22"/>
        <v>0</v>
      </c>
      <c r="L140" s="204"/>
      <c r="M140" s="204"/>
      <c r="N140" s="204"/>
      <c r="O140" s="205">
        <v>0</v>
      </c>
      <c r="P140" s="204">
        <v>0</v>
      </c>
      <c r="Q140" s="204" t="e">
        <f>+#REF!</f>
        <v>#REF!</v>
      </c>
    </row>
    <row r="141" spans="1:17" ht="15.75" thickBot="1" x14ac:dyDescent="0.3"/>
    <row r="142" spans="1:17" ht="15.75" thickBot="1" x14ac:dyDescent="0.3">
      <c r="C142" s="220" t="s">
        <v>105</v>
      </c>
      <c r="D142" s="221"/>
      <c r="E142" s="222">
        <f t="shared" ref="E142:O142" si="24">SUM(E8:E140)</f>
        <v>10596.996666666666</v>
      </c>
      <c r="F142" s="223">
        <f t="shared" si="24"/>
        <v>11075.980916000006</v>
      </c>
      <c r="G142" s="223">
        <f t="shared" si="24"/>
        <v>317909.90000000002</v>
      </c>
      <c r="H142" s="223">
        <f t="shared" si="24"/>
        <v>3814918.8</v>
      </c>
      <c r="I142" s="223">
        <f t="shared" si="24"/>
        <v>105969.9666666667</v>
      </c>
      <c r="J142" s="223">
        <f t="shared" si="24"/>
        <v>26492.491666666676</v>
      </c>
      <c r="K142" s="223">
        <f t="shared" si="24"/>
        <v>522416.89999999979</v>
      </c>
      <c r="L142" s="223">
        <f t="shared" si="24"/>
        <v>44000</v>
      </c>
      <c r="M142" s="223">
        <f t="shared" si="24"/>
        <v>578.56000000000006</v>
      </c>
      <c r="N142" s="223">
        <f>SUM(N8:N140)</f>
        <v>477838.33999999979</v>
      </c>
      <c r="O142" s="223">
        <f t="shared" si="24"/>
        <v>59162.399999999972</v>
      </c>
      <c r="P142" s="223">
        <f>SUM(P8:P140)</f>
        <v>463254.50000000017</v>
      </c>
      <c r="Q142" s="223">
        <f>+Q34+Q33+Q32+Q31+Q30+Q29+Q28+Q27+Q26+Q25+Q24+Q23+Q22+Q21+Q20+Q19++Q18+Q17+Q16+Q15+Q14+Q13+Q12+Q11+Q10+Q9+Q8</f>
        <v>87233.37999999999</v>
      </c>
    </row>
    <row r="143" spans="1:17" x14ac:dyDescent="0.25">
      <c r="G143" s="224"/>
      <c r="H143" s="225"/>
      <c r="I143" s="225"/>
      <c r="J143" s="225"/>
      <c r="K143" s="225"/>
      <c r="L143" s="225"/>
      <c r="M143" s="225"/>
      <c r="N143" s="225"/>
      <c r="O143" s="225"/>
      <c r="P143" s="225"/>
      <c r="Q143" s="225"/>
    </row>
    <row r="144" spans="1:17" hidden="1" x14ac:dyDescent="0.25">
      <c r="G144" s="226"/>
      <c r="H144" s="204"/>
      <c r="I144" s="204"/>
      <c r="J144" s="204"/>
      <c r="K144" s="204"/>
      <c r="L144" s="204"/>
      <c r="M144" s="204"/>
      <c r="N144" s="204"/>
      <c r="O144" s="204"/>
      <c r="P144" s="204"/>
      <c r="Q144" s="204"/>
    </row>
    <row r="145" spans="7:17" s="151" customFormat="1" ht="15.75" hidden="1" customHeight="1" x14ac:dyDescent="0.25">
      <c r="G145" s="227"/>
      <c r="H145" s="205"/>
      <c r="I145" s="205"/>
      <c r="J145" s="205"/>
      <c r="K145" s="205"/>
      <c r="L145" s="205"/>
      <c r="M145" s="205"/>
      <c r="N145" s="205"/>
      <c r="O145" s="205"/>
      <c r="P145" s="205"/>
      <c r="Q145" s="205"/>
    </row>
    <row r="146" spans="7:17" s="228" customFormat="1" hidden="1" x14ac:dyDescent="0.25">
      <c r="G146" s="139"/>
      <c r="H146" s="229"/>
      <c r="I146" s="229"/>
      <c r="J146" s="229"/>
      <c r="K146" s="229"/>
      <c r="L146" s="229"/>
      <c r="M146" s="229"/>
      <c r="N146" s="229"/>
      <c r="O146" s="229"/>
      <c r="P146" s="229"/>
      <c r="Q146" s="229"/>
    </row>
    <row r="147" spans="7:17" hidden="1" x14ac:dyDescent="0.25">
      <c r="H147" s="204"/>
      <c r="I147" s="230"/>
      <c r="J147" s="230"/>
      <c r="K147" s="230"/>
      <c r="L147" s="230"/>
      <c r="M147" s="230"/>
      <c r="N147" s="230"/>
      <c r="O147" s="230"/>
      <c r="P147" s="230"/>
      <c r="Q147" s="231"/>
    </row>
    <row r="148" spans="7:17" hidden="1" x14ac:dyDescent="0.25">
      <c r="H148" s="232"/>
      <c r="I148" s="230"/>
      <c r="J148" s="230"/>
      <c r="K148" s="230"/>
      <c r="L148" s="230"/>
      <c r="M148" s="230"/>
      <c r="N148" s="230"/>
      <c r="O148" s="230"/>
      <c r="P148" s="230"/>
      <c r="Q148" s="232"/>
    </row>
    <row r="149" spans="7:17" hidden="1" x14ac:dyDescent="0.25">
      <c r="H149" s="230"/>
      <c r="I149" s="230"/>
      <c r="J149" s="230"/>
      <c r="K149" s="230"/>
      <c r="L149" s="230"/>
      <c r="M149" s="230"/>
      <c r="N149" s="230"/>
      <c r="O149" s="233"/>
      <c r="P149" s="230"/>
      <c r="Q149" s="230"/>
    </row>
    <row r="150" spans="7:17" hidden="1" x14ac:dyDescent="0.25">
      <c r="H150" s="234"/>
      <c r="I150" s="230"/>
      <c r="J150" s="230"/>
      <c r="K150" s="230"/>
      <c r="L150" s="230"/>
      <c r="M150" s="230"/>
      <c r="N150" s="230"/>
      <c r="O150" s="235"/>
      <c r="P150" s="230"/>
      <c r="Q150" s="234"/>
    </row>
    <row r="151" spans="7:17" hidden="1" x14ac:dyDescent="0.25">
      <c r="H151" s="234"/>
      <c r="I151" s="230"/>
      <c r="J151" s="230"/>
      <c r="K151" s="230"/>
      <c r="L151" s="230"/>
      <c r="M151" s="230"/>
      <c r="N151" s="230"/>
      <c r="O151" s="235"/>
      <c r="P151" s="230"/>
      <c r="Q151" s="234"/>
    </row>
    <row r="152" spans="7:17" hidden="1" x14ac:dyDescent="0.25">
      <c r="H152" s="234"/>
      <c r="I152" s="230"/>
      <c r="J152" s="230"/>
      <c r="K152" s="230"/>
      <c r="L152" s="230"/>
      <c r="M152" s="230"/>
      <c r="N152" s="230"/>
      <c r="O152" s="235"/>
      <c r="P152" s="230"/>
      <c r="Q152" s="234"/>
    </row>
    <row r="153" spans="7:17" hidden="1" x14ac:dyDescent="0.25">
      <c r="H153" s="236"/>
      <c r="I153" s="230"/>
      <c r="J153" s="230"/>
      <c r="K153" s="230"/>
      <c r="L153" s="230"/>
      <c r="M153" s="230"/>
      <c r="N153" s="230"/>
      <c r="O153" s="235"/>
      <c r="P153" s="230"/>
      <c r="Q153" s="234"/>
    </row>
    <row r="154" spans="7:17" hidden="1" x14ac:dyDescent="0.25">
      <c r="H154" s="232"/>
      <c r="I154" s="230"/>
      <c r="J154" s="230"/>
      <c r="K154" s="230"/>
      <c r="L154" s="230"/>
      <c r="M154" s="230"/>
      <c r="N154" s="230"/>
      <c r="O154" s="235"/>
      <c r="P154" s="230"/>
      <c r="Q154" s="232"/>
    </row>
    <row r="155" spans="7:17" hidden="1" x14ac:dyDescent="0.25">
      <c r="G155" s="237"/>
      <c r="H155" s="237"/>
      <c r="I155" s="237"/>
      <c r="J155" s="237"/>
      <c r="K155" s="237"/>
      <c r="L155" s="237"/>
      <c r="M155" s="237"/>
      <c r="N155" s="237"/>
      <c r="O155" s="237"/>
      <c r="P155" s="237"/>
      <c r="Q155" s="237"/>
    </row>
    <row r="156" spans="7:17" hidden="1" x14ac:dyDescent="0.25">
      <c r="G156" s="238"/>
      <c r="H156" s="238"/>
      <c r="I156" s="238"/>
      <c r="J156" s="238"/>
      <c r="K156" s="238"/>
      <c r="L156" s="238"/>
      <c r="M156" s="238"/>
      <c r="N156" s="238"/>
      <c r="O156" s="238"/>
      <c r="P156" s="238"/>
      <c r="Q156" s="238"/>
    </row>
    <row r="157" spans="7:17" hidden="1" x14ac:dyDescent="0.25">
      <c r="G157" s="239"/>
      <c r="H157" s="239"/>
      <c r="I157" s="239"/>
      <c r="J157" s="239"/>
      <c r="K157" s="239"/>
      <c r="L157" s="239"/>
      <c r="M157" s="239"/>
      <c r="N157" s="239"/>
      <c r="O157" s="239"/>
      <c r="P157" s="239"/>
      <c r="Q157" s="239"/>
    </row>
    <row r="158" spans="7:17" hidden="1" x14ac:dyDescent="0.25"/>
    <row r="159" spans="7:17" hidden="1" x14ac:dyDescent="0.25"/>
    <row r="160" spans="7:17" hidden="1" x14ac:dyDescent="0.25"/>
    <row r="161" spans="3:19" hidden="1" x14ac:dyDescent="0.25"/>
    <row r="162" spans="3:19" hidden="1" x14ac:dyDescent="0.25"/>
    <row r="164" spans="3:19" ht="15.75" thickBot="1" x14ac:dyDescent="0.3"/>
    <row r="165" spans="3:19" ht="33.75" customHeight="1" thickBot="1" x14ac:dyDescent="0.3">
      <c r="D165" s="141" t="s">
        <v>200</v>
      </c>
      <c r="E165" s="142" t="s">
        <v>201</v>
      </c>
      <c r="F165" s="142" t="s">
        <v>202</v>
      </c>
      <c r="G165" s="143" t="s">
        <v>203</v>
      </c>
      <c r="H165" s="143" t="s">
        <v>204</v>
      </c>
      <c r="I165" s="143" t="s">
        <v>205</v>
      </c>
      <c r="J165" s="143" t="s">
        <v>206</v>
      </c>
      <c r="K165" s="143" t="s">
        <v>207</v>
      </c>
      <c r="L165" s="143" t="str">
        <f t="shared" ref="L165:Q165" si="25">+L7</f>
        <v xml:space="preserve">ANTICIPO DE AGUINALDO </v>
      </c>
      <c r="M165" s="143" t="str">
        <f t="shared" si="25"/>
        <v xml:space="preserve">FALTAS </v>
      </c>
      <c r="N165" s="143" t="str">
        <f t="shared" si="25"/>
        <v xml:space="preserve">1322 GRATIFICACIÓN DE FIN DE AÑO (Aguinaldo)  NETO </v>
      </c>
      <c r="O165" s="143" t="str">
        <f t="shared" si="25"/>
        <v>ART.93 FRACCION  XIV 30 DIAS DE SALARIO MINIMO AREA GEOGRAFICA EXCENTOS DE ISR</v>
      </c>
      <c r="P165" s="143" t="str">
        <f t="shared" si="25"/>
        <v xml:space="preserve">BASE PAR CALCULAR SUBSIDIO AL  ISR DE AGUILADO </v>
      </c>
      <c r="Q165" s="143" t="str">
        <f t="shared" si="25"/>
        <v>1322 GRATIFICACIÓN DE FIN DE AÑO (Subsidio al ISR de Aguinaldo)</v>
      </c>
    </row>
    <row r="166" spans="3:19" x14ac:dyDescent="0.25">
      <c r="C166" s="220" t="s">
        <v>105</v>
      </c>
      <c r="D166" s="240">
        <v>1</v>
      </c>
      <c r="E166" s="254">
        <f>+E8+E9</f>
        <v>1453.6633333333334</v>
      </c>
      <c r="F166" s="254">
        <f t="shared" ref="F166:Q166" si="26">+F8+F9</f>
        <v>1519.3689159999999</v>
      </c>
      <c r="G166" s="254">
        <f t="shared" si="26"/>
        <v>43609.9</v>
      </c>
      <c r="H166" s="254">
        <f t="shared" si="26"/>
        <v>523318.80000000005</v>
      </c>
      <c r="I166" s="254">
        <f t="shared" si="26"/>
        <v>14536.633333333335</v>
      </c>
      <c r="J166" s="254">
        <f t="shared" si="26"/>
        <v>3634.1583333333338</v>
      </c>
      <c r="K166" s="254">
        <f t="shared" si="26"/>
        <v>72683.166666666672</v>
      </c>
      <c r="L166" s="254">
        <f t="shared" si="26"/>
        <v>25000</v>
      </c>
      <c r="M166" s="254">
        <f t="shared" si="26"/>
        <v>0</v>
      </c>
      <c r="N166" s="254">
        <f t="shared" si="26"/>
        <v>47683.166666666672</v>
      </c>
      <c r="O166" s="254">
        <f t="shared" si="26"/>
        <v>4382.3999999999996</v>
      </c>
      <c r="P166" s="254">
        <f>+P8+P9</f>
        <v>68300.766666666677</v>
      </c>
      <c r="Q166" s="254">
        <f t="shared" si="26"/>
        <v>12049.650000000001</v>
      </c>
    </row>
    <row r="167" spans="3:19" x14ac:dyDescent="0.25">
      <c r="C167" s="220" t="s">
        <v>105</v>
      </c>
      <c r="D167" s="241">
        <v>2</v>
      </c>
      <c r="E167" s="255">
        <f>+E10+E11+E12+E13+E14+E15+E16+E17</f>
        <v>2770</v>
      </c>
      <c r="F167" s="255">
        <f t="shared" ref="F167:Q167" si="27">+F10+F11+F12+F13+F14+F15+F16+F17</f>
        <v>2895.2039999999997</v>
      </c>
      <c r="G167" s="255">
        <f t="shared" si="27"/>
        <v>83100</v>
      </c>
      <c r="H167" s="255">
        <f t="shared" si="27"/>
        <v>997200</v>
      </c>
      <c r="I167" s="255">
        <f t="shared" si="27"/>
        <v>27700</v>
      </c>
      <c r="J167" s="255">
        <f t="shared" si="27"/>
        <v>6925</v>
      </c>
      <c r="K167" s="255">
        <f t="shared" si="27"/>
        <v>131067.06666666667</v>
      </c>
      <c r="L167" s="255">
        <f t="shared" si="27"/>
        <v>12000</v>
      </c>
      <c r="M167" s="255">
        <f>+M10+M11+M12+M13+M14+M15+M16+M17</f>
        <v>41.1</v>
      </c>
      <c r="N167" s="255">
        <f t="shared" si="27"/>
        <v>119025.96666666666</v>
      </c>
      <c r="O167" s="255">
        <f t="shared" si="27"/>
        <v>17529.600000000002</v>
      </c>
      <c r="P167" s="255">
        <f t="shared" si="27"/>
        <v>113537.46666666667</v>
      </c>
      <c r="Q167" s="255">
        <f t="shared" si="27"/>
        <v>22032.27</v>
      </c>
    </row>
    <row r="168" spans="3:19" x14ac:dyDescent="0.25">
      <c r="C168" s="220" t="s">
        <v>105</v>
      </c>
      <c r="D168" s="242">
        <v>4</v>
      </c>
      <c r="E168" s="256">
        <f>+E18+E19+E20</f>
        <v>1070</v>
      </c>
      <c r="F168" s="256">
        <f t="shared" ref="F168:Q168" si="28">+F18+F19+F20</f>
        <v>1118.364</v>
      </c>
      <c r="G168" s="256">
        <f t="shared" si="28"/>
        <v>32100</v>
      </c>
      <c r="H168" s="256">
        <f t="shared" si="28"/>
        <v>385200</v>
      </c>
      <c r="I168" s="256">
        <f t="shared" si="28"/>
        <v>10700</v>
      </c>
      <c r="J168" s="256">
        <f t="shared" si="28"/>
        <v>2675</v>
      </c>
      <c r="K168" s="256">
        <f t="shared" si="28"/>
        <v>53500.000000000007</v>
      </c>
      <c r="L168" s="256">
        <f t="shared" si="28"/>
        <v>0</v>
      </c>
      <c r="M168" s="256">
        <f t="shared" si="28"/>
        <v>488.6</v>
      </c>
      <c r="N168" s="256">
        <f t="shared" si="28"/>
        <v>53011.4</v>
      </c>
      <c r="O168" s="256">
        <f t="shared" si="28"/>
        <v>6573.5999999999995</v>
      </c>
      <c r="P168" s="256">
        <f t="shared" si="28"/>
        <v>46926.400000000009</v>
      </c>
      <c r="Q168" s="256">
        <f t="shared" si="28"/>
        <v>8731.14</v>
      </c>
    </row>
    <row r="169" spans="3:19" x14ac:dyDescent="0.25">
      <c r="C169" s="220" t="s">
        <v>105</v>
      </c>
      <c r="D169" s="243">
        <v>5</v>
      </c>
      <c r="E169" s="257">
        <f>+E21+E22+E23+E24+E25+E26+E27+E28+E29+E30+E31</f>
        <v>3923.3333333333326</v>
      </c>
      <c r="F169" s="257">
        <f t="shared" ref="F169:Q169" si="29">+F21+F22+F23+F24+F25+F26+F27+F28+F29+F30+F31</f>
        <v>4100.6679999999997</v>
      </c>
      <c r="G169" s="257">
        <f t="shared" si="29"/>
        <v>117700</v>
      </c>
      <c r="H169" s="257">
        <f t="shared" si="29"/>
        <v>1412400</v>
      </c>
      <c r="I169" s="257">
        <f t="shared" si="29"/>
        <v>39233.333333333336</v>
      </c>
      <c r="J169" s="257">
        <f t="shared" si="29"/>
        <v>9808.3333333333339</v>
      </c>
      <c r="K169" s="257">
        <f t="shared" si="29"/>
        <v>196166.66666666674</v>
      </c>
      <c r="L169" s="257">
        <f t="shared" si="29"/>
        <v>0</v>
      </c>
      <c r="M169" s="257">
        <f t="shared" si="29"/>
        <v>48.86</v>
      </c>
      <c r="N169" s="257">
        <f t="shared" si="29"/>
        <v>196117.80666666673</v>
      </c>
      <c r="O169" s="257">
        <f t="shared" si="29"/>
        <v>24103.200000000004</v>
      </c>
      <c r="P169" s="257">
        <f t="shared" si="29"/>
        <v>172063.46666666667</v>
      </c>
      <c r="Q169" s="257">
        <f t="shared" si="29"/>
        <v>32014.180000000008</v>
      </c>
    </row>
    <row r="170" spans="3:19" x14ac:dyDescent="0.25">
      <c r="C170" s="220" t="s">
        <v>105</v>
      </c>
      <c r="D170" s="244">
        <v>6</v>
      </c>
      <c r="E170" s="258">
        <f>+E32+E33</f>
        <v>713.33333333333337</v>
      </c>
      <c r="F170" s="258">
        <f t="shared" ref="F170:Q170" si="30">+F32+F33</f>
        <v>745.57600000000002</v>
      </c>
      <c r="G170" s="258">
        <f t="shared" si="30"/>
        <v>21400</v>
      </c>
      <c r="H170" s="258">
        <f t="shared" si="30"/>
        <v>256800</v>
      </c>
      <c r="I170" s="258">
        <f t="shared" si="30"/>
        <v>7133.3333333333339</v>
      </c>
      <c r="J170" s="258">
        <f t="shared" si="30"/>
        <v>1783.3333333333335</v>
      </c>
      <c r="K170" s="258">
        <f t="shared" si="30"/>
        <v>35666.666666666672</v>
      </c>
      <c r="L170" s="258">
        <f t="shared" si="30"/>
        <v>0</v>
      </c>
      <c r="M170" s="258">
        <f t="shared" si="30"/>
        <v>0</v>
      </c>
      <c r="N170" s="258">
        <f t="shared" si="30"/>
        <v>35666.666666666672</v>
      </c>
      <c r="O170" s="258">
        <f t="shared" si="30"/>
        <v>4382.3999999999996</v>
      </c>
      <c r="P170" s="258">
        <f t="shared" si="30"/>
        <v>31284.26666666667</v>
      </c>
      <c r="Q170" s="258">
        <f t="shared" si="30"/>
        <v>5820.76</v>
      </c>
    </row>
    <row r="171" spans="3:19" ht="15.75" thickBot="1" x14ac:dyDescent="0.3">
      <c r="C171" s="220" t="s">
        <v>105</v>
      </c>
      <c r="D171" s="245">
        <v>7</v>
      </c>
      <c r="E171" s="259">
        <f>+E34</f>
        <v>666.66666666666663</v>
      </c>
      <c r="F171" s="259">
        <f t="shared" ref="F171:Q171" si="31">+F34</f>
        <v>696.8</v>
      </c>
      <c r="G171" s="259">
        <f t="shared" si="31"/>
        <v>20000</v>
      </c>
      <c r="H171" s="259">
        <f t="shared" si="31"/>
        <v>240000</v>
      </c>
      <c r="I171" s="259">
        <f t="shared" si="31"/>
        <v>6666.6666666666661</v>
      </c>
      <c r="J171" s="259">
        <f t="shared" si="31"/>
        <v>1666.6666666666665</v>
      </c>
      <c r="K171" s="259">
        <f t="shared" si="31"/>
        <v>33333.333333333328</v>
      </c>
      <c r="L171" s="259">
        <f t="shared" si="31"/>
        <v>7000</v>
      </c>
      <c r="M171" s="259">
        <f t="shared" si="31"/>
        <v>0</v>
      </c>
      <c r="N171" s="259">
        <f t="shared" si="31"/>
        <v>26333.333333333328</v>
      </c>
      <c r="O171" s="259">
        <f t="shared" si="31"/>
        <v>2191.1999999999998</v>
      </c>
      <c r="P171" s="259">
        <f t="shared" si="31"/>
        <v>31142.133333333328</v>
      </c>
      <c r="Q171" s="259">
        <f t="shared" si="31"/>
        <v>6585.3799999999992</v>
      </c>
    </row>
    <row r="176" spans="3:19" ht="16.5" thickBot="1" x14ac:dyDescent="0.3">
      <c r="C176" s="375"/>
      <c r="D176" s="375"/>
      <c r="E176" s="246"/>
      <c r="F176" s="246"/>
      <c r="G176"/>
      <c r="H176"/>
      <c r="I176"/>
      <c r="J176"/>
      <c r="K176"/>
      <c r="L176"/>
      <c r="M176"/>
      <c r="N176" s="376"/>
      <c r="O176" s="376"/>
      <c r="P176" s="133"/>
      <c r="Q176"/>
      <c r="R176"/>
      <c r="S176"/>
    </row>
    <row r="177" spans="3:19" x14ac:dyDescent="0.25">
      <c r="C177" s="377" t="s">
        <v>177</v>
      </c>
      <c r="D177" s="377"/>
      <c r="E177" s="247"/>
      <c r="F177" s="247"/>
      <c r="G177"/>
      <c r="H177"/>
      <c r="I177"/>
      <c r="J177"/>
      <c r="K177"/>
      <c r="L177"/>
      <c r="M177"/>
      <c r="N177" s="26"/>
      <c r="O177" s="378" t="s">
        <v>157</v>
      </c>
      <c r="P177" s="378"/>
      <c r="Q177" s="378"/>
      <c r="R177"/>
      <c r="S177"/>
    </row>
  </sheetData>
  <mergeCells count="5">
    <mergeCell ref="B5:Q5"/>
    <mergeCell ref="C176:D176"/>
    <mergeCell ref="N176:O176"/>
    <mergeCell ref="C177:D177"/>
    <mergeCell ref="O177:Q177"/>
  </mergeCells>
  <pageMargins left="0.70866141732283472" right="0.70866141732283472" top="0.74803149606299213" bottom="0.74803149606299213" header="0.31496062992125984" footer="0.31496062992125984"/>
  <pageSetup scale="58" orientation="landscape" r:id="rId1"/>
  <drawing r:id="rId2"/>
  <legacyDrawing r:id="rId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V60"/>
  <sheetViews>
    <sheetView topLeftCell="A26" zoomScale="85" zoomScaleNormal="85" workbookViewId="0">
      <selection activeCell="R52" sqref="R52"/>
    </sheetView>
  </sheetViews>
  <sheetFormatPr baseColWidth="10" defaultRowHeight="15.75" x14ac:dyDescent="0.25"/>
  <cols>
    <col min="1" max="1" width="0.7109375" customWidth="1"/>
    <col min="2" max="2" width="17.140625" customWidth="1"/>
    <col min="3" max="3" width="34.140625" customWidth="1"/>
    <col min="4" max="4" width="28" customWidth="1"/>
    <col min="5" max="5" width="18.42578125" customWidth="1"/>
    <col min="6" max="6" width="12.7109375" customWidth="1"/>
    <col min="7" max="7" width="12.28515625" customWidth="1"/>
    <col min="8" max="8" width="14.140625" customWidth="1"/>
    <col min="9" max="9" width="13.85546875" customWidth="1"/>
    <col min="10" max="10" width="15" hidden="1" customWidth="1"/>
    <col min="11" max="11" width="13.85546875" customWidth="1"/>
    <col min="12" max="12" width="9.42578125" customWidth="1"/>
    <col min="13" max="13" width="14.42578125" customWidth="1"/>
    <col min="14" max="14" width="12.7109375" customWidth="1"/>
    <col min="15" max="15" width="11.42578125" hidden="1" customWidth="1"/>
    <col min="16" max="16" width="12.85546875" customWidth="1"/>
    <col min="17" max="17" width="16.5703125" customWidth="1"/>
    <col min="18" max="18" width="18.28515625" style="133" customWidth="1"/>
    <col min="19" max="19" width="16.140625" customWidth="1"/>
    <col min="20" max="20" width="14.85546875" customWidth="1"/>
    <col min="21" max="21" width="17" customWidth="1"/>
  </cols>
  <sheetData>
    <row r="3" spans="2:22" x14ac:dyDescent="0.25"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29"/>
    </row>
    <row r="4" spans="2:22" ht="16.5" customHeight="1" x14ac:dyDescent="0.25">
      <c r="B4" s="380" t="s">
        <v>214</v>
      </c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</row>
    <row r="5" spans="2:22" s="56" customFormat="1" ht="39.75" customHeight="1" x14ac:dyDescent="0.25">
      <c r="B5" s="120" t="s">
        <v>9</v>
      </c>
      <c r="C5" s="119" t="s">
        <v>10</v>
      </c>
      <c r="D5" s="103" t="s">
        <v>0</v>
      </c>
      <c r="E5" s="61" t="s">
        <v>11</v>
      </c>
      <c r="F5" s="100" t="s">
        <v>150</v>
      </c>
      <c r="G5" s="117" t="s">
        <v>180</v>
      </c>
      <c r="H5" s="118" t="s">
        <v>215</v>
      </c>
      <c r="I5" s="97" t="s">
        <v>169</v>
      </c>
      <c r="J5" s="103" t="s">
        <v>170</v>
      </c>
      <c r="K5" s="103" t="s">
        <v>12</v>
      </c>
      <c r="L5" s="99" t="s">
        <v>107</v>
      </c>
      <c r="M5" s="100" t="s">
        <v>143</v>
      </c>
      <c r="N5" s="100" t="s">
        <v>13</v>
      </c>
      <c r="O5" s="101" t="s">
        <v>171</v>
      </c>
      <c r="P5" s="116" t="s">
        <v>16</v>
      </c>
      <c r="Q5" s="115" t="s">
        <v>17</v>
      </c>
      <c r="R5" s="130" t="s">
        <v>72</v>
      </c>
      <c r="S5" s="99" t="s">
        <v>8</v>
      </c>
      <c r="T5" s="123" t="s">
        <v>18</v>
      </c>
      <c r="U5" s="123" t="s">
        <v>73</v>
      </c>
      <c r="V5" s="102"/>
    </row>
    <row r="6" spans="2:22" x14ac:dyDescent="0.25">
      <c r="B6" s="107" t="s">
        <v>19</v>
      </c>
      <c r="C6" s="121" t="s">
        <v>20</v>
      </c>
      <c r="D6" s="121"/>
      <c r="E6" s="95"/>
      <c r="F6" s="15"/>
      <c r="G6" s="114"/>
      <c r="H6" s="15"/>
      <c r="I6" s="95"/>
      <c r="J6" s="95"/>
      <c r="K6" s="95"/>
      <c r="L6" s="15"/>
      <c r="M6" s="15"/>
      <c r="N6" s="15"/>
      <c r="O6" s="95"/>
      <c r="P6" s="15"/>
      <c r="Q6" s="95"/>
      <c r="R6" s="129"/>
    </row>
    <row r="7" spans="2:22" x14ac:dyDescent="0.25">
      <c r="B7" t="s">
        <v>21</v>
      </c>
      <c r="C7" s="11" t="s">
        <v>22</v>
      </c>
      <c r="D7" t="s">
        <v>25</v>
      </c>
      <c r="E7" s="15">
        <v>16954.95</v>
      </c>
      <c r="F7" s="29">
        <v>15</v>
      </c>
      <c r="G7" s="83">
        <v>2700</v>
      </c>
      <c r="H7" s="15">
        <v>2825.83</v>
      </c>
      <c r="I7" s="15"/>
      <c r="J7" s="15"/>
      <c r="K7" s="15">
        <f>E7-I7+H7</f>
        <v>19780.78</v>
      </c>
      <c r="L7" s="15">
        <v>0</v>
      </c>
      <c r="M7" s="15">
        <v>3246.93</v>
      </c>
      <c r="N7" s="15">
        <f>M7-L7</f>
        <v>3246.93</v>
      </c>
      <c r="O7" s="15">
        <v>0</v>
      </c>
      <c r="P7" s="20">
        <f>E7*0.115</f>
        <v>1949.8192500000002</v>
      </c>
      <c r="Q7" s="15">
        <f>SUM(N7:P7)+G7</f>
        <v>7896.7492499999998</v>
      </c>
      <c r="R7" s="253">
        <f>K7-Q7</f>
        <v>11884.030749999998</v>
      </c>
      <c r="S7" s="11">
        <v>328.67</v>
      </c>
      <c r="T7" s="11">
        <v>3390.99</v>
      </c>
      <c r="U7" s="35">
        <f>SUM(S7:T7)</f>
        <v>3719.66</v>
      </c>
    </row>
    <row r="8" spans="2:22" x14ac:dyDescent="0.25">
      <c r="B8" t="s">
        <v>23</v>
      </c>
      <c r="C8" s="11" t="s">
        <v>24</v>
      </c>
      <c r="D8" t="s">
        <v>3</v>
      </c>
      <c r="E8" s="15">
        <v>4850</v>
      </c>
      <c r="F8" s="29">
        <v>15</v>
      </c>
      <c r="G8" s="83">
        <v>809</v>
      </c>
      <c r="H8" s="15">
        <v>808.33</v>
      </c>
      <c r="I8" s="15"/>
      <c r="J8" s="15"/>
      <c r="K8" s="15">
        <f>E8-I8+H8</f>
        <v>5658.33</v>
      </c>
      <c r="L8" s="15">
        <v>0</v>
      </c>
      <c r="M8" s="15">
        <v>491.69</v>
      </c>
      <c r="N8" s="15">
        <f>M8-L8</f>
        <v>491.69</v>
      </c>
      <c r="O8" s="15">
        <v>0</v>
      </c>
      <c r="P8" s="20">
        <f>E8*0.115</f>
        <v>557.75</v>
      </c>
      <c r="Q8" s="15">
        <f>SUM(N8:P8)+G8</f>
        <v>1858.44</v>
      </c>
      <c r="R8" s="253">
        <f>K8-Q8</f>
        <v>3799.89</v>
      </c>
      <c r="S8" s="11">
        <v>253.58</v>
      </c>
      <c r="T8" s="11">
        <v>970</v>
      </c>
      <c r="U8" s="35">
        <f t="shared" ref="U8" si="0">SUM(S8:T8)</f>
        <v>1223.58</v>
      </c>
    </row>
    <row r="9" spans="2:22" x14ac:dyDescent="0.25">
      <c r="B9" s="7" t="s">
        <v>26</v>
      </c>
      <c r="C9" s="30"/>
      <c r="D9" s="30"/>
      <c r="E9" s="34">
        <f>SUM(E7:E8)</f>
        <v>21804.95</v>
      </c>
      <c r="F9" s="34"/>
      <c r="G9" s="34">
        <f>+G8+G7</f>
        <v>3509</v>
      </c>
      <c r="H9" s="34">
        <f>+H8+H7</f>
        <v>3634.16</v>
      </c>
      <c r="I9" s="34">
        <f t="shared" ref="I9:U9" si="1">SUM(I7:I8)</f>
        <v>0</v>
      </c>
      <c r="J9" s="34">
        <f t="shared" si="1"/>
        <v>0</v>
      </c>
      <c r="K9" s="34">
        <f t="shared" si="1"/>
        <v>25439.11</v>
      </c>
      <c r="L9" s="34">
        <f t="shared" si="1"/>
        <v>0</v>
      </c>
      <c r="M9" s="34">
        <f t="shared" si="1"/>
        <v>3738.62</v>
      </c>
      <c r="N9" s="34">
        <f t="shared" si="1"/>
        <v>3738.62</v>
      </c>
      <c r="O9" s="34">
        <f t="shared" si="1"/>
        <v>0</v>
      </c>
      <c r="P9" s="34">
        <f>SUM(P7:P8)</f>
        <v>2507.5692500000005</v>
      </c>
      <c r="Q9" s="34">
        <f t="shared" si="1"/>
        <v>9755.1892499999994</v>
      </c>
      <c r="R9" s="131">
        <f>SUM(R7:R8)</f>
        <v>15683.920749999997</v>
      </c>
      <c r="S9" s="34">
        <f t="shared" si="1"/>
        <v>582.25</v>
      </c>
      <c r="T9" s="34">
        <f>SUM(T7:T8)</f>
        <v>4360.99</v>
      </c>
      <c r="U9" s="34">
        <f t="shared" si="1"/>
        <v>4943.24</v>
      </c>
    </row>
    <row r="10" spans="2:22" ht="10.5" hidden="1" customHeight="1" x14ac:dyDescent="0.25"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29"/>
    </row>
    <row r="11" spans="2:22" x14ac:dyDescent="0.25">
      <c r="B11" s="2" t="s">
        <v>27</v>
      </c>
      <c r="C11" s="2" t="s">
        <v>28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29"/>
    </row>
    <row r="12" spans="2:22" x14ac:dyDescent="0.25">
      <c r="B12" t="s">
        <v>32</v>
      </c>
      <c r="C12" s="11" t="s">
        <v>37</v>
      </c>
      <c r="D12" t="s">
        <v>1</v>
      </c>
      <c r="E12" s="15">
        <v>10000</v>
      </c>
      <c r="F12" s="29">
        <v>15</v>
      </c>
      <c r="G12" s="83">
        <v>3334</v>
      </c>
      <c r="H12" s="15">
        <v>1666.66</v>
      </c>
      <c r="I12" s="15"/>
      <c r="J12" s="15"/>
      <c r="K12" s="15">
        <f>E12-I12+H12</f>
        <v>11666.66</v>
      </c>
      <c r="L12" s="15">
        <v>0</v>
      </c>
      <c r="M12" s="15">
        <v>1581.44</v>
      </c>
      <c r="N12" s="15">
        <f>M12-L12</f>
        <v>1581.44</v>
      </c>
      <c r="O12" s="15">
        <v>0</v>
      </c>
      <c r="P12" s="15">
        <f t="shared" ref="P12:P19" si="2">E12*0.115</f>
        <v>1150</v>
      </c>
      <c r="Q12" s="15">
        <f>SUM(N12:P12)+G12</f>
        <v>6065.4400000000005</v>
      </c>
      <c r="R12" s="253">
        <f t="shared" ref="R12:R19" si="3">K12-Q12</f>
        <v>5601.2199999999993</v>
      </c>
      <c r="S12" s="11">
        <v>285.52999999999997</v>
      </c>
      <c r="T12" s="11">
        <v>2000</v>
      </c>
      <c r="U12" s="35">
        <f>S12+T12</f>
        <v>2285.5299999999997</v>
      </c>
    </row>
    <row r="13" spans="2:22" x14ac:dyDescent="0.25">
      <c r="B13" t="s">
        <v>33</v>
      </c>
      <c r="C13" s="11" t="s">
        <v>38</v>
      </c>
      <c r="D13" t="s">
        <v>74</v>
      </c>
      <c r="E13" s="15">
        <v>5350</v>
      </c>
      <c r="F13" s="29">
        <v>15</v>
      </c>
      <c r="G13" s="15"/>
      <c r="H13" s="15">
        <v>891.66</v>
      </c>
      <c r="I13" s="77"/>
      <c r="J13" s="19"/>
      <c r="K13" s="15">
        <f>E13-I13+H13</f>
        <v>6241.66</v>
      </c>
      <c r="L13" s="15">
        <v>0</v>
      </c>
      <c r="M13" s="15">
        <v>586.75</v>
      </c>
      <c r="N13" s="15">
        <v>588.20000000000005</v>
      </c>
      <c r="O13" s="15">
        <v>0</v>
      </c>
      <c r="P13" s="15">
        <f t="shared" si="2"/>
        <v>615.25</v>
      </c>
      <c r="Q13" s="15">
        <f t="shared" ref="Q13:Q19" si="4">SUM(N13:P13)+G13</f>
        <v>1203.45</v>
      </c>
      <c r="R13" s="253">
        <f t="shared" si="3"/>
        <v>5038.21</v>
      </c>
      <c r="S13" s="11">
        <v>256.68</v>
      </c>
      <c r="T13" s="11">
        <v>1070</v>
      </c>
      <c r="U13" s="35">
        <f>S13+T13</f>
        <v>1326.68</v>
      </c>
    </row>
    <row r="14" spans="2:22" x14ac:dyDescent="0.25">
      <c r="B14" t="s">
        <v>34</v>
      </c>
      <c r="C14" s="11" t="s">
        <v>178</v>
      </c>
      <c r="D14" t="s">
        <v>179</v>
      </c>
      <c r="E14" s="15">
        <v>5350</v>
      </c>
      <c r="F14" s="29">
        <v>15</v>
      </c>
      <c r="G14" s="15"/>
      <c r="H14" s="20">
        <v>891.66</v>
      </c>
      <c r="I14" s="19"/>
      <c r="J14" s="19"/>
      <c r="K14" s="15">
        <f>E14-I14+H14</f>
        <v>6241.66</v>
      </c>
      <c r="L14" s="15">
        <v>0</v>
      </c>
      <c r="M14" s="15">
        <v>586.75</v>
      </c>
      <c r="N14" s="15">
        <v>588.20000000000005</v>
      </c>
      <c r="O14" s="15">
        <v>0</v>
      </c>
      <c r="P14" s="113">
        <v>615.25</v>
      </c>
      <c r="Q14" s="15">
        <f>SUM(N14:P14)+G14</f>
        <v>1203.45</v>
      </c>
      <c r="R14" s="253">
        <f t="shared" si="3"/>
        <v>5038.21</v>
      </c>
      <c r="S14" s="11">
        <v>256.68</v>
      </c>
      <c r="T14" s="11">
        <v>1070</v>
      </c>
      <c r="U14" s="35">
        <f>S14+T14</f>
        <v>1326.68</v>
      </c>
    </row>
    <row r="15" spans="2:22" x14ac:dyDescent="0.25">
      <c r="B15" t="s">
        <v>35</v>
      </c>
      <c r="C15" t="s">
        <v>111</v>
      </c>
      <c r="D15" t="s">
        <v>77</v>
      </c>
      <c r="E15" s="15">
        <v>6000</v>
      </c>
      <c r="F15" s="29">
        <v>15</v>
      </c>
      <c r="G15" s="15"/>
      <c r="H15" s="15">
        <v>1000</v>
      </c>
      <c r="I15" s="15"/>
      <c r="J15" s="15"/>
      <c r="K15" s="15">
        <f t="shared" ref="K15:K19" si="5">E15-I15+H15</f>
        <v>7000</v>
      </c>
      <c r="L15" s="15">
        <v>0</v>
      </c>
      <c r="M15" s="15">
        <v>727.04</v>
      </c>
      <c r="N15" s="15">
        <f t="shared" ref="N15:N19" si="6">M15-L15</f>
        <v>727.04</v>
      </c>
      <c r="O15" s="15">
        <v>0</v>
      </c>
      <c r="P15" s="15">
        <f>E15*0.115</f>
        <v>690</v>
      </c>
      <c r="Q15" s="15">
        <f t="shared" si="4"/>
        <v>1417.04</v>
      </c>
      <c r="R15" s="253">
        <f t="shared" si="3"/>
        <v>5582.96</v>
      </c>
      <c r="S15" s="11">
        <v>260.72000000000003</v>
      </c>
      <c r="T15" s="11">
        <v>1200</v>
      </c>
      <c r="U15" s="35">
        <f>S15+T15</f>
        <v>1460.72</v>
      </c>
    </row>
    <row r="16" spans="2:22" ht="16.5" thickBot="1" x14ac:dyDescent="0.3">
      <c r="B16" t="s">
        <v>36</v>
      </c>
      <c r="C16" t="s">
        <v>86</v>
      </c>
      <c r="D16" t="s">
        <v>39</v>
      </c>
      <c r="E16" s="15">
        <v>4500</v>
      </c>
      <c r="F16" s="29">
        <v>15</v>
      </c>
      <c r="G16" s="83">
        <v>750</v>
      </c>
      <c r="H16" s="15">
        <v>750</v>
      </c>
      <c r="I16" s="15"/>
      <c r="J16" s="15"/>
      <c r="K16" s="15">
        <f t="shared" si="5"/>
        <v>5250</v>
      </c>
      <c r="L16" s="15">
        <v>0</v>
      </c>
      <c r="M16" s="15">
        <v>428.97</v>
      </c>
      <c r="N16" s="15">
        <f t="shared" si="6"/>
        <v>428.97</v>
      </c>
      <c r="O16" s="15">
        <v>0</v>
      </c>
      <c r="P16" s="15">
        <f t="shared" si="2"/>
        <v>517.5</v>
      </c>
      <c r="Q16" s="15">
        <f t="shared" si="4"/>
        <v>1696.47</v>
      </c>
      <c r="R16" s="253">
        <f t="shared" si="3"/>
        <v>3553.5299999999997</v>
      </c>
      <c r="S16" s="11">
        <v>251.41</v>
      </c>
      <c r="T16" s="11">
        <v>900</v>
      </c>
      <c r="U16" s="35">
        <f>S16+T16</f>
        <v>1151.4100000000001</v>
      </c>
    </row>
    <row r="17" spans="2:21" ht="16.5" thickBot="1" x14ac:dyDescent="0.3">
      <c r="B17" t="s">
        <v>115</v>
      </c>
      <c r="C17" t="s">
        <v>87</v>
      </c>
      <c r="D17" t="s">
        <v>39</v>
      </c>
      <c r="E17" s="15">
        <v>4500</v>
      </c>
      <c r="F17" s="29">
        <v>15</v>
      </c>
      <c r="G17" s="83">
        <v>610</v>
      </c>
      <c r="H17" s="15">
        <v>750</v>
      </c>
      <c r="I17" s="250">
        <v>8.32</v>
      </c>
      <c r="J17" s="15"/>
      <c r="K17" s="15">
        <f t="shared" si="5"/>
        <v>5241.68</v>
      </c>
      <c r="L17" s="15">
        <v>0</v>
      </c>
      <c r="M17" s="15">
        <v>428.97</v>
      </c>
      <c r="N17" s="15">
        <v>428.97</v>
      </c>
      <c r="O17" s="15">
        <v>0</v>
      </c>
      <c r="P17" s="15">
        <f t="shared" si="2"/>
        <v>517.5</v>
      </c>
      <c r="Q17" s="15">
        <f t="shared" si="4"/>
        <v>1556.47</v>
      </c>
      <c r="R17" s="253">
        <f t="shared" si="3"/>
        <v>3685.21</v>
      </c>
      <c r="S17" s="11">
        <v>251.41</v>
      </c>
      <c r="T17" s="11">
        <v>900</v>
      </c>
      <c r="U17" s="35">
        <f t="shared" ref="U17:U19" si="7">S17+T17</f>
        <v>1151.4100000000001</v>
      </c>
    </row>
    <row r="18" spans="2:21" x14ac:dyDescent="0.25">
      <c r="B18" t="s">
        <v>116</v>
      </c>
      <c r="C18" t="s">
        <v>89</v>
      </c>
      <c r="D18" t="s">
        <v>4</v>
      </c>
      <c r="E18" s="15">
        <v>2700</v>
      </c>
      <c r="F18" s="29">
        <v>15</v>
      </c>
      <c r="G18" s="83">
        <v>450</v>
      </c>
      <c r="H18" s="15">
        <v>450</v>
      </c>
      <c r="I18" s="15"/>
      <c r="J18" s="15"/>
      <c r="K18" s="15">
        <f t="shared" si="5"/>
        <v>3150</v>
      </c>
      <c r="L18" s="15">
        <v>147.32</v>
      </c>
      <c r="M18" s="15">
        <v>188.33</v>
      </c>
      <c r="N18" s="15">
        <f t="shared" si="6"/>
        <v>41.010000000000019</v>
      </c>
      <c r="O18" s="15">
        <v>0</v>
      </c>
      <c r="P18" s="20">
        <f t="shared" si="2"/>
        <v>310.5</v>
      </c>
      <c r="Q18" s="15">
        <f t="shared" si="4"/>
        <v>801.51</v>
      </c>
      <c r="R18" s="253">
        <f t="shared" si="3"/>
        <v>2348.4899999999998</v>
      </c>
      <c r="S18" s="11">
        <v>240.25</v>
      </c>
      <c r="T18" s="11">
        <v>540</v>
      </c>
      <c r="U18" s="35">
        <f t="shared" si="7"/>
        <v>780.25</v>
      </c>
    </row>
    <row r="19" spans="2:21" x14ac:dyDescent="0.25">
      <c r="B19" t="s">
        <v>117</v>
      </c>
      <c r="C19" t="s">
        <v>88</v>
      </c>
      <c r="D19" t="s">
        <v>40</v>
      </c>
      <c r="E19" s="15">
        <v>3150</v>
      </c>
      <c r="F19" s="29">
        <v>15</v>
      </c>
      <c r="G19" s="83">
        <v>525</v>
      </c>
      <c r="H19" s="15">
        <v>525</v>
      </c>
      <c r="I19" s="15"/>
      <c r="J19" s="15"/>
      <c r="K19" s="15">
        <f t="shared" si="5"/>
        <v>3675</v>
      </c>
      <c r="L19" s="15">
        <v>126.77</v>
      </c>
      <c r="M19" s="15">
        <v>237.29</v>
      </c>
      <c r="N19" s="15">
        <f t="shared" si="6"/>
        <v>110.52</v>
      </c>
      <c r="O19" s="15">
        <v>0</v>
      </c>
      <c r="P19" s="20">
        <f t="shared" si="2"/>
        <v>362.25</v>
      </c>
      <c r="Q19" s="15">
        <f t="shared" si="4"/>
        <v>997.77</v>
      </c>
      <c r="R19" s="253">
        <f t="shared" si="3"/>
        <v>2677.23</v>
      </c>
      <c r="S19" s="11">
        <v>243.04</v>
      </c>
      <c r="T19" s="11">
        <v>630</v>
      </c>
      <c r="U19" s="35">
        <f t="shared" si="7"/>
        <v>873.04</v>
      </c>
    </row>
    <row r="20" spans="2:21" x14ac:dyDescent="0.25">
      <c r="B20" s="2" t="s">
        <v>26</v>
      </c>
      <c r="C20" s="30"/>
      <c r="D20" s="30"/>
      <c r="E20" s="34">
        <f>SUM(E12:E19)</f>
        <v>41550</v>
      </c>
      <c r="F20" s="34"/>
      <c r="G20" s="34">
        <f>+G19+G18+G17+G16+G12</f>
        <v>5669</v>
      </c>
      <c r="H20" s="34">
        <f>+H19+H18+H17+H16+H12+H15+H14+H13</f>
        <v>6924.98</v>
      </c>
      <c r="I20" s="34">
        <f t="shared" ref="I20:U20" si="8">SUM(I12:I19)</f>
        <v>8.32</v>
      </c>
      <c r="J20" s="34">
        <f t="shared" si="8"/>
        <v>0</v>
      </c>
      <c r="K20" s="34">
        <f t="shared" si="8"/>
        <v>48466.659999999996</v>
      </c>
      <c r="L20" s="34">
        <f t="shared" si="8"/>
        <v>274.08999999999997</v>
      </c>
      <c r="M20" s="34">
        <f t="shared" si="8"/>
        <v>4765.54</v>
      </c>
      <c r="N20" s="34">
        <f t="shared" si="8"/>
        <v>4494.3500000000013</v>
      </c>
      <c r="O20" s="34">
        <f t="shared" si="8"/>
        <v>0</v>
      </c>
      <c r="P20" s="34">
        <f>SUM(P12:P19)</f>
        <v>4778.25</v>
      </c>
      <c r="Q20" s="34">
        <f t="shared" si="8"/>
        <v>14941.6</v>
      </c>
      <c r="R20" s="131">
        <f>SUM(R12:R19)</f>
        <v>33525.06</v>
      </c>
      <c r="S20" s="34">
        <f t="shared" si="8"/>
        <v>2045.7200000000003</v>
      </c>
      <c r="T20" s="34">
        <f>SUM(T12:T19)</f>
        <v>8310</v>
      </c>
      <c r="U20" s="34">
        <f t="shared" si="8"/>
        <v>10355.720000000001</v>
      </c>
    </row>
    <row r="21" spans="2:21" hidden="1" x14ac:dyDescent="0.25">
      <c r="B21" s="2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29"/>
    </row>
    <row r="22" spans="2:21" ht="16.5" thickBot="1" x14ac:dyDescent="0.3">
      <c r="B22" s="2" t="s">
        <v>50</v>
      </c>
      <c r="C22" s="2" t="s">
        <v>160</v>
      </c>
      <c r="E22" s="15"/>
      <c r="F22" s="15"/>
      <c r="G22" s="15"/>
      <c r="H22" s="15"/>
      <c r="I22" s="15"/>
      <c r="J22" s="15"/>
      <c r="K22" s="113"/>
      <c r="L22" s="113"/>
      <c r="M22" s="15"/>
      <c r="N22" s="15"/>
      <c r="O22" s="15"/>
      <c r="P22" s="15"/>
      <c r="Q22" s="15"/>
      <c r="R22" s="129"/>
    </row>
    <row r="23" spans="2:21" ht="16.5" thickBot="1" x14ac:dyDescent="0.3">
      <c r="B23" t="s">
        <v>119</v>
      </c>
      <c r="C23" t="s">
        <v>91</v>
      </c>
      <c r="D23" t="s">
        <v>76</v>
      </c>
      <c r="E23" s="15">
        <v>5350</v>
      </c>
      <c r="F23" s="29">
        <v>13</v>
      </c>
      <c r="G23" s="83">
        <v>892</v>
      </c>
      <c r="H23" s="15">
        <v>891.66</v>
      </c>
      <c r="I23" s="250">
        <f>713.34+5.94+44.55</f>
        <v>763.83</v>
      </c>
      <c r="J23" s="15"/>
      <c r="K23" s="15">
        <f t="shared" ref="K23:K25" si="9">E23-I23+H23</f>
        <v>5477.83</v>
      </c>
      <c r="L23" s="15">
        <v>0</v>
      </c>
      <c r="M23" s="15">
        <v>453.47</v>
      </c>
      <c r="N23" s="15">
        <v>588.20000000000005</v>
      </c>
      <c r="O23" s="15">
        <v>0</v>
      </c>
      <c r="P23" s="20">
        <f>E23*0.115</f>
        <v>615.25</v>
      </c>
      <c r="Q23" s="15">
        <f>SUM(N23:P23)+G23</f>
        <v>2095.4499999999998</v>
      </c>
      <c r="R23" s="253">
        <f>K23-Q23</f>
        <v>3382.38</v>
      </c>
      <c r="S23" s="11">
        <v>256.68</v>
      </c>
      <c r="T23" s="11">
        <v>1070</v>
      </c>
      <c r="U23" s="35">
        <f>S23+T23</f>
        <v>1326.68</v>
      </c>
    </row>
    <row r="24" spans="2:21" ht="16.5" thickBot="1" x14ac:dyDescent="0.3">
      <c r="B24" t="s">
        <v>120</v>
      </c>
      <c r="C24" t="s">
        <v>93</v>
      </c>
      <c r="D24" t="s">
        <v>78</v>
      </c>
      <c r="E24" s="15">
        <v>5350</v>
      </c>
      <c r="F24" s="29">
        <v>15</v>
      </c>
      <c r="G24" s="83">
        <v>1115</v>
      </c>
      <c r="H24" s="15">
        <v>891.66</v>
      </c>
      <c r="I24" s="250">
        <v>4.95</v>
      </c>
      <c r="J24" s="15"/>
      <c r="K24" s="15">
        <f t="shared" si="9"/>
        <v>6236.71</v>
      </c>
      <c r="L24" s="15">
        <v>0</v>
      </c>
      <c r="M24" s="15">
        <v>588.20000000000005</v>
      </c>
      <c r="N24" s="15">
        <f>M24-L24</f>
        <v>588.20000000000005</v>
      </c>
      <c r="O24" s="15">
        <v>0</v>
      </c>
      <c r="P24" s="20">
        <f>E24*0.115</f>
        <v>615.25</v>
      </c>
      <c r="Q24" s="15">
        <f>SUM(N24:P24)+G24</f>
        <v>2318.4499999999998</v>
      </c>
      <c r="R24" s="253">
        <f>K24-Q24</f>
        <v>3918.26</v>
      </c>
      <c r="S24" s="11">
        <v>256.68</v>
      </c>
      <c r="T24" s="11">
        <v>1070</v>
      </c>
      <c r="U24" s="35">
        <f>S24+T24</f>
        <v>1326.68</v>
      </c>
    </row>
    <row r="25" spans="2:21" x14ac:dyDescent="0.25">
      <c r="B25" t="s">
        <v>121</v>
      </c>
      <c r="C25" t="s">
        <v>114</v>
      </c>
      <c r="D25" t="s">
        <v>186</v>
      </c>
      <c r="E25" s="15">
        <v>5350</v>
      </c>
      <c r="F25" s="29">
        <v>15</v>
      </c>
      <c r="G25" s="15"/>
      <c r="H25" s="15">
        <v>891.66</v>
      </c>
      <c r="I25" s="71"/>
      <c r="J25" s="15"/>
      <c r="K25" s="15">
        <f t="shared" si="9"/>
        <v>6241.66</v>
      </c>
      <c r="L25" s="15">
        <v>0</v>
      </c>
      <c r="M25" s="15">
        <v>588.20000000000005</v>
      </c>
      <c r="N25" s="15">
        <f>M25-L25</f>
        <v>588.20000000000005</v>
      </c>
      <c r="O25" s="15">
        <v>0</v>
      </c>
      <c r="P25" s="20">
        <f>E25*0.115</f>
        <v>615.25</v>
      </c>
      <c r="Q25" s="15">
        <f>SUM(N25:P25)+G25</f>
        <v>1203.45</v>
      </c>
      <c r="R25" s="253">
        <f>K25-Q25</f>
        <v>5038.21</v>
      </c>
      <c r="S25" s="11">
        <v>256.68</v>
      </c>
      <c r="T25" s="11">
        <v>1070</v>
      </c>
      <c r="U25" s="35">
        <f>S25+T25</f>
        <v>1326.68</v>
      </c>
    </row>
    <row r="26" spans="2:21" x14ac:dyDescent="0.25">
      <c r="B26" s="2" t="s">
        <v>26</v>
      </c>
      <c r="C26" s="30"/>
      <c r="D26" s="30"/>
      <c r="E26" s="34">
        <f>SUM(E23:E25)</f>
        <v>16050</v>
      </c>
      <c r="F26" s="34"/>
      <c r="G26" s="34">
        <f>+G25+G24+G23</f>
        <v>2007</v>
      </c>
      <c r="H26" s="34">
        <f>+H25+H24+H23</f>
        <v>2674.98</v>
      </c>
      <c r="I26" s="34">
        <f>SUM(I23:I25)</f>
        <v>768.78000000000009</v>
      </c>
      <c r="J26" s="34">
        <f>SUM(J23:J25)</f>
        <v>0</v>
      </c>
      <c r="K26" s="34">
        <f t="shared" ref="K26:U26" si="10">SUM(K23:K25)</f>
        <v>17956.2</v>
      </c>
      <c r="L26" s="34">
        <f t="shared" si="10"/>
        <v>0</v>
      </c>
      <c r="M26" s="34">
        <f t="shared" si="10"/>
        <v>1629.8700000000001</v>
      </c>
      <c r="N26" s="34">
        <f t="shared" si="10"/>
        <v>1764.6000000000001</v>
      </c>
      <c r="O26" s="34">
        <f t="shared" si="10"/>
        <v>0</v>
      </c>
      <c r="P26" s="34">
        <f>SUM(P23:P25)</f>
        <v>1845.75</v>
      </c>
      <c r="Q26" s="34">
        <f t="shared" si="10"/>
        <v>5617.3499999999995</v>
      </c>
      <c r="R26" s="131">
        <f>SUM(R23:R25)</f>
        <v>12338.85</v>
      </c>
      <c r="S26" s="34">
        <f t="shared" si="10"/>
        <v>770.04</v>
      </c>
      <c r="T26" s="34">
        <f>SUM(T23:T25)</f>
        <v>3210</v>
      </c>
      <c r="U26" s="34">
        <f t="shared" si="10"/>
        <v>3980.04</v>
      </c>
    </row>
    <row r="27" spans="2:21" hidden="1" x14ac:dyDescent="0.25"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29"/>
    </row>
    <row r="28" spans="2:21" x14ac:dyDescent="0.25">
      <c r="B28" s="2" t="s">
        <v>63</v>
      </c>
      <c r="C28" s="2" t="s">
        <v>51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29"/>
    </row>
    <row r="29" spans="2:21" x14ac:dyDescent="0.25">
      <c r="B29" t="s">
        <v>122</v>
      </c>
      <c r="C29" t="s">
        <v>97</v>
      </c>
      <c r="D29" t="s">
        <v>80</v>
      </c>
      <c r="E29" s="15">
        <v>5350</v>
      </c>
      <c r="F29" s="29">
        <v>15</v>
      </c>
      <c r="G29" s="15"/>
      <c r="H29" s="15">
        <v>891.66</v>
      </c>
      <c r="I29" s="71"/>
      <c r="J29" s="15"/>
      <c r="K29" s="15">
        <f t="shared" ref="K29:K39" si="11">E29-I29+H29</f>
        <v>6241.66</v>
      </c>
      <c r="L29" s="15">
        <v>0</v>
      </c>
      <c r="M29" s="15">
        <v>588.20000000000005</v>
      </c>
      <c r="N29" s="15">
        <f>M29-L29</f>
        <v>588.20000000000005</v>
      </c>
      <c r="O29" s="15">
        <v>0</v>
      </c>
      <c r="P29" s="20">
        <f>E29*0.115</f>
        <v>615.25</v>
      </c>
      <c r="Q29" s="15">
        <f t="shared" ref="Q29:Q39" si="12">SUM(N29:P29)+G29</f>
        <v>1203.45</v>
      </c>
      <c r="R29" s="253">
        <f t="shared" ref="R29:R39" si="13">K29-Q29</f>
        <v>5038.21</v>
      </c>
      <c r="S29" s="11">
        <v>256.68</v>
      </c>
      <c r="T29" s="11">
        <v>1070</v>
      </c>
      <c r="U29" s="35">
        <f t="shared" ref="U29:U39" si="14">S29+T29</f>
        <v>1326.68</v>
      </c>
    </row>
    <row r="30" spans="2:21" x14ac:dyDescent="0.25">
      <c r="B30" t="s">
        <v>123</v>
      </c>
      <c r="C30" t="s">
        <v>100</v>
      </c>
      <c r="D30" t="s">
        <v>80</v>
      </c>
      <c r="E30" s="15">
        <v>5350</v>
      </c>
      <c r="F30" s="29">
        <v>15</v>
      </c>
      <c r="G30" s="83">
        <v>904</v>
      </c>
      <c r="H30" s="15">
        <v>891.66</v>
      </c>
      <c r="I30" s="77"/>
      <c r="J30" s="20"/>
      <c r="K30" s="15">
        <f t="shared" si="11"/>
        <v>6241.66</v>
      </c>
      <c r="L30" s="20">
        <v>0</v>
      </c>
      <c r="M30" s="20">
        <v>587.48</v>
      </c>
      <c r="N30" s="20">
        <v>588.20000000000005</v>
      </c>
      <c r="O30" s="15">
        <v>0</v>
      </c>
      <c r="P30" s="20">
        <f t="shared" ref="P30:P39" si="15">E30*0.115</f>
        <v>615.25</v>
      </c>
      <c r="Q30" s="15">
        <f t="shared" si="12"/>
        <v>2107.4499999999998</v>
      </c>
      <c r="R30" s="253">
        <f t="shared" si="13"/>
        <v>4134.21</v>
      </c>
      <c r="S30" s="11">
        <v>256.68</v>
      </c>
      <c r="T30" s="11">
        <v>1070</v>
      </c>
      <c r="U30" s="35">
        <f t="shared" si="14"/>
        <v>1326.68</v>
      </c>
    </row>
    <row r="31" spans="2:21" x14ac:dyDescent="0.25">
      <c r="B31" t="s">
        <v>124</v>
      </c>
      <c r="C31" t="s">
        <v>96</v>
      </c>
      <c r="D31" t="s">
        <v>78</v>
      </c>
      <c r="E31" s="15">
        <v>5350</v>
      </c>
      <c r="F31" s="29">
        <v>15</v>
      </c>
      <c r="G31" s="15"/>
      <c r="H31" s="15">
        <v>891.66</v>
      </c>
      <c r="I31" s="20"/>
      <c r="J31" s="20"/>
      <c r="K31" s="15">
        <f t="shared" si="11"/>
        <v>6241.66</v>
      </c>
      <c r="L31" s="20">
        <v>0</v>
      </c>
      <c r="M31" s="20">
        <v>588.20000000000005</v>
      </c>
      <c r="N31" s="20">
        <f t="shared" ref="N31:N39" si="16">M31-L31</f>
        <v>588.20000000000005</v>
      </c>
      <c r="O31" s="15">
        <v>0</v>
      </c>
      <c r="P31" s="20">
        <f t="shared" si="15"/>
        <v>615.25</v>
      </c>
      <c r="Q31" s="15">
        <f t="shared" si="12"/>
        <v>1203.45</v>
      </c>
      <c r="R31" s="253">
        <f t="shared" si="13"/>
        <v>5038.21</v>
      </c>
      <c r="S31" s="11">
        <v>256.68</v>
      </c>
      <c r="T31" s="11">
        <v>1070</v>
      </c>
      <c r="U31" s="35">
        <f t="shared" si="14"/>
        <v>1326.68</v>
      </c>
    </row>
    <row r="32" spans="2:21" x14ac:dyDescent="0.25">
      <c r="B32" t="s">
        <v>125</v>
      </c>
      <c r="C32" t="s">
        <v>104</v>
      </c>
      <c r="D32" t="s">
        <v>78</v>
      </c>
      <c r="E32" s="15">
        <v>5350</v>
      </c>
      <c r="F32" s="29">
        <v>15</v>
      </c>
      <c r="G32" s="15"/>
      <c r="H32" s="15">
        <v>891.66</v>
      </c>
      <c r="I32" s="77"/>
      <c r="J32" s="20"/>
      <c r="K32" s="15">
        <f t="shared" si="11"/>
        <v>6241.66</v>
      </c>
      <c r="L32" s="20">
        <v>0</v>
      </c>
      <c r="M32" s="20">
        <v>588.20000000000005</v>
      </c>
      <c r="N32" s="20">
        <f t="shared" si="16"/>
        <v>588.20000000000005</v>
      </c>
      <c r="O32" s="15">
        <v>0</v>
      </c>
      <c r="P32" s="20">
        <f t="shared" si="15"/>
        <v>615.25</v>
      </c>
      <c r="Q32" s="15">
        <f t="shared" si="12"/>
        <v>1203.45</v>
      </c>
      <c r="R32" s="253">
        <f t="shared" si="13"/>
        <v>5038.21</v>
      </c>
      <c r="S32" s="11">
        <v>256.68</v>
      </c>
      <c r="T32" s="11">
        <v>1070</v>
      </c>
      <c r="U32" s="35">
        <f t="shared" si="14"/>
        <v>1326.68</v>
      </c>
    </row>
    <row r="33" spans="2:21" ht="16.5" thickBot="1" x14ac:dyDescent="0.3">
      <c r="B33" t="s">
        <v>126</v>
      </c>
      <c r="C33" t="s">
        <v>94</v>
      </c>
      <c r="D33" t="s">
        <v>81</v>
      </c>
      <c r="E33" s="15">
        <v>5350</v>
      </c>
      <c r="F33" s="29">
        <v>15</v>
      </c>
      <c r="G33" s="83">
        <v>595</v>
      </c>
      <c r="H33" s="15">
        <v>891.66</v>
      </c>
      <c r="I33" s="77"/>
      <c r="J33" s="20"/>
      <c r="K33" s="15">
        <f t="shared" si="11"/>
        <v>6241.66</v>
      </c>
      <c r="L33" s="20">
        <v>0</v>
      </c>
      <c r="M33" s="20">
        <v>517.23</v>
      </c>
      <c r="N33" s="20">
        <v>588.02</v>
      </c>
      <c r="O33" s="15">
        <v>0</v>
      </c>
      <c r="P33" s="20">
        <f t="shared" si="15"/>
        <v>615.25</v>
      </c>
      <c r="Q33" s="15">
        <f t="shared" si="12"/>
        <v>1798.27</v>
      </c>
      <c r="R33" s="253">
        <f t="shared" si="13"/>
        <v>4443.3899999999994</v>
      </c>
      <c r="S33" s="11">
        <v>256.68</v>
      </c>
      <c r="T33" s="11">
        <v>1070</v>
      </c>
      <c r="U33" s="35">
        <f t="shared" si="14"/>
        <v>1326.68</v>
      </c>
    </row>
    <row r="34" spans="2:21" ht="16.5" thickBot="1" x14ac:dyDescent="0.3">
      <c r="B34" t="s">
        <v>127</v>
      </c>
      <c r="C34" t="s">
        <v>98</v>
      </c>
      <c r="D34" t="s">
        <v>81</v>
      </c>
      <c r="E34" s="15">
        <v>5350</v>
      </c>
      <c r="F34" s="29">
        <v>15</v>
      </c>
      <c r="G34" s="15"/>
      <c r="H34" s="20">
        <v>891.66</v>
      </c>
      <c r="I34" s="250">
        <v>4.95</v>
      </c>
      <c r="J34" s="20"/>
      <c r="K34" s="15">
        <f t="shared" si="11"/>
        <v>6236.71</v>
      </c>
      <c r="L34" s="20">
        <v>0</v>
      </c>
      <c r="M34" s="20">
        <v>588.20000000000005</v>
      </c>
      <c r="N34" s="20">
        <f t="shared" si="16"/>
        <v>588.20000000000005</v>
      </c>
      <c r="O34" s="15">
        <v>0</v>
      </c>
      <c r="P34" s="20">
        <f>E34*0.115</f>
        <v>615.25</v>
      </c>
      <c r="Q34" s="15">
        <f>SUM(N34:P34)+G34</f>
        <v>1203.45</v>
      </c>
      <c r="R34" s="253">
        <f t="shared" si="13"/>
        <v>5033.26</v>
      </c>
      <c r="S34" s="11">
        <v>256.68</v>
      </c>
      <c r="T34" s="11">
        <v>1070</v>
      </c>
      <c r="U34" s="35">
        <f t="shared" si="14"/>
        <v>1326.68</v>
      </c>
    </row>
    <row r="35" spans="2:21" x14ac:dyDescent="0.25">
      <c r="B35" t="s">
        <v>128</v>
      </c>
      <c r="C35" t="s">
        <v>101</v>
      </c>
      <c r="D35" t="s">
        <v>81</v>
      </c>
      <c r="E35" s="15">
        <v>5350</v>
      </c>
      <c r="F35" s="29">
        <v>15</v>
      </c>
      <c r="G35" s="15"/>
      <c r="H35" s="15">
        <v>891.66</v>
      </c>
      <c r="J35" s="20"/>
      <c r="K35" s="15">
        <f t="shared" si="11"/>
        <v>6241.66</v>
      </c>
      <c r="L35" s="20">
        <v>0</v>
      </c>
      <c r="M35" s="15">
        <v>588.20000000000005</v>
      </c>
      <c r="N35" s="15">
        <f>M35-L35</f>
        <v>588.20000000000005</v>
      </c>
      <c r="O35" s="15">
        <v>0</v>
      </c>
      <c r="P35" s="20">
        <f t="shared" si="15"/>
        <v>615.25</v>
      </c>
      <c r="Q35" s="15">
        <f>SUM(N35:P35)+G35</f>
        <v>1203.45</v>
      </c>
      <c r="R35" s="253">
        <f t="shared" si="13"/>
        <v>5038.21</v>
      </c>
      <c r="S35" s="11">
        <v>256.68</v>
      </c>
      <c r="T35" s="11">
        <v>1070</v>
      </c>
      <c r="U35" s="35">
        <f t="shared" si="14"/>
        <v>1326.68</v>
      </c>
    </row>
    <row r="36" spans="2:21" x14ac:dyDescent="0.25">
      <c r="B36" t="s">
        <v>129</v>
      </c>
      <c r="C36" t="s">
        <v>95</v>
      </c>
      <c r="D36" t="s">
        <v>82</v>
      </c>
      <c r="E36" s="15">
        <v>5350</v>
      </c>
      <c r="F36" s="29">
        <v>15</v>
      </c>
      <c r="G36" s="83">
        <v>1190</v>
      </c>
      <c r="H36" s="15">
        <v>891.66</v>
      </c>
      <c r="I36" s="15"/>
      <c r="J36" s="15"/>
      <c r="K36" s="15">
        <f t="shared" si="11"/>
        <v>6241.66</v>
      </c>
      <c r="L36" s="15">
        <v>0</v>
      </c>
      <c r="M36" s="15">
        <v>588.20000000000005</v>
      </c>
      <c r="N36" s="15">
        <f t="shared" si="16"/>
        <v>588.20000000000005</v>
      </c>
      <c r="O36" s="15">
        <v>0</v>
      </c>
      <c r="P36" s="20">
        <f t="shared" si="15"/>
        <v>615.25</v>
      </c>
      <c r="Q36" s="15">
        <f t="shared" si="12"/>
        <v>2393.4499999999998</v>
      </c>
      <c r="R36" s="253">
        <f t="shared" si="13"/>
        <v>3848.21</v>
      </c>
      <c r="S36" s="11">
        <v>256.68</v>
      </c>
      <c r="T36" s="11">
        <v>1070</v>
      </c>
      <c r="U36" s="35">
        <f t="shared" si="14"/>
        <v>1326.68</v>
      </c>
    </row>
    <row r="37" spans="2:21" x14ac:dyDescent="0.25">
      <c r="B37" t="s">
        <v>130</v>
      </c>
      <c r="C37" t="s">
        <v>102</v>
      </c>
      <c r="D37" t="s">
        <v>82</v>
      </c>
      <c r="E37" s="15">
        <v>5350</v>
      </c>
      <c r="F37" s="29">
        <v>15</v>
      </c>
      <c r="G37" s="83">
        <v>927.62</v>
      </c>
      <c r="H37" s="15">
        <v>891.66</v>
      </c>
      <c r="I37" s="77"/>
      <c r="J37" s="15"/>
      <c r="K37" s="15">
        <f t="shared" si="11"/>
        <v>6241.66</v>
      </c>
      <c r="L37" s="15">
        <v>0</v>
      </c>
      <c r="M37" s="15">
        <v>586.03</v>
      </c>
      <c r="N37" s="15">
        <v>588.20000000000005</v>
      </c>
      <c r="O37" s="15">
        <v>0</v>
      </c>
      <c r="P37" s="20">
        <f t="shared" si="15"/>
        <v>615.25</v>
      </c>
      <c r="Q37" s="15">
        <f>SUM(N37:P37)+G37</f>
        <v>2131.0700000000002</v>
      </c>
      <c r="R37" s="253">
        <f t="shared" si="13"/>
        <v>4110.59</v>
      </c>
      <c r="S37" s="11">
        <v>256.68</v>
      </c>
      <c r="T37" s="11">
        <v>1070</v>
      </c>
      <c r="U37" s="35">
        <f t="shared" si="14"/>
        <v>1326.68</v>
      </c>
    </row>
    <row r="38" spans="2:21" x14ac:dyDescent="0.25">
      <c r="B38" t="s">
        <v>131</v>
      </c>
      <c r="C38" t="s">
        <v>85</v>
      </c>
      <c r="D38" t="s">
        <v>83</v>
      </c>
      <c r="E38" s="15">
        <v>5350</v>
      </c>
      <c r="F38" s="29">
        <v>15</v>
      </c>
      <c r="G38" s="83">
        <v>1784</v>
      </c>
      <c r="H38" s="15">
        <v>891.66</v>
      </c>
      <c r="I38" s="15"/>
      <c r="J38" s="15"/>
      <c r="K38" s="15">
        <f t="shared" si="11"/>
        <v>6241.66</v>
      </c>
      <c r="L38" s="15">
        <v>0</v>
      </c>
      <c r="M38" s="15">
        <v>588.20000000000005</v>
      </c>
      <c r="N38" s="15">
        <f t="shared" si="16"/>
        <v>588.20000000000005</v>
      </c>
      <c r="O38" s="15">
        <v>0</v>
      </c>
      <c r="P38" s="20">
        <f t="shared" si="15"/>
        <v>615.25</v>
      </c>
      <c r="Q38" s="15">
        <f t="shared" si="12"/>
        <v>2987.45</v>
      </c>
      <c r="R38" s="253">
        <f t="shared" si="13"/>
        <v>3254.21</v>
      </c>
      <c r="S38" s="11">
        <v>256.68</v>
      </c>
      <c r="T38" s="11">
        <v>1070</v>
      </c>
      <c r="U38" s="35">
        <f t="shared" si="14"/>
        <v>1326.68</v>
      </c>
    </row>
    <row r="39" spans="2:21" x14ac:dyDescent="0.25">
      <c r="B39" t="s">
        <v>132</v>
      </c>
      <c r="C39" t="s">
        <v>103</v>
      </c>
      <c r="D39" t="s">
        <v>83</v>
      </c>
      <c r="E39" s="15">
        <v>5350</v>
      </c>
      <c r="F39" s="29">
        <v>15</v>
      </c>
      <c r="G39" s="83">
        <v>1900</v>
      </c>
      <c r="H39" s="15">
        <v>891.66</v>
      </c>
      <c r="I39" s="71"/>
      <c r="J39" s="15"/>
      <c r="K39" s="15">
        <f t="shared" si="11"/>
        <v>6241.66</v>
      </c>
      <c r="L39" s="15">
        <v>0</v>
      </c>
      <c r="M39" s="15">
        <v>588.20000000000005</v>
      </c>
      <c r="N39" s="15">
        <f t="shared" si="16"/>
        <v>588.20000000000005</v>
      </c>
      <c r="O39" s="15">
        <v>0</v>
      </c>
      <c r="P39" s="20">
        <f t="shared" si="15"/>
        <v>615.25</v>
      </c>
      <c r="Q39" s="15">
        <f t="shared" si="12"/>
        <v>3103.45</v>
      </c>
      <c r="R39" s="253">
        <f t="shared" si="13"/>
        <v>3138.21</v>
      </c>
      <c r="S39" s="11">
        <v>256.68</v>
      </c>
      <c r="T39" s="11">
        <v>1070</v>
      </c>
      <c r="U39" s="35">
        <f t="shared" si="14"/>
        <v>1326.68</v>
      </c>
    </row>
    <row r="40" spans="2:21" x14ac:dyDescent="0.25">
      <c r="B40" s="2" t="s">
        <v>26</v>
      </c>
      <c r="C40" s="30"/>
      <c r="D40" s="30"/>
      <c r="E40" s="34">
        <f>SUM(E29:E39)</f>
        <v>58850</v>
      </c>
      <c r="F40" s="34"/>
      <c r="G40" s="34">
        <f>+G39+G38+G37+G36+G35+G34+G33+G30</f>
        <v>7300.62</v>
      </c>
      <c r="H40" s="34">
        <f>+H39+H38+H37+H36+H35+H34+H33+H30+H32+H31+H29</f>
        <v>9808.26</v>
      </c>
      <c r="I40" s="34">
        <f>SUM(I29:I39)</f>
        <v>4.95</v>
      </c>
      <c r="J40" s="34">
        <f>SUM(J29:J39)</f>
        <v>0</v>
      </c>
      <c r="K40" s="34">
        <f>SUM(K29:K39)</f>
        <v>68653.310000000012</v>
      </c>
      <c r="L40" s="34">
        <f t="shared" ref="L40:U40" si="17">SUM(L29:L39)</f>
        <v>0</v>
      </c>
      <c r="M40" s="34">
        <f t="shared" si="17"/>
        <v>6396.3399999999992</v>
      </c>
      <c r="N40" s="34">
        <f t="shared" si="17"/>
        <v>6470.0199999999995</v>
      </c>
      <c r="O40" s="34">
        <f t="shared" si="17"/>
        <v>0</v>
      </c>
      <c r="P40" s="34">
        <f>SUM(P29:P39)</f>
        <v>6767.75</v>
      </c>
      <c r="Q40" s="34">
        <f t="shared" si="17"/>
        <v>20538.390000000003</v>
      </c>
      <c r="R40" s="131">
        <f>SUM(R29:R39)</f>
        <v>48114.92</v>
      </c>
      <c r="S40" s="34">
        <f t="shared" si="17"/>
        <v>2823.4799999999996</v>
      </c>
      <c r="T40" s="34">
        <f>SUM(T29:T39)</f>
        <v>11770</v>
      </c>
      <c r="U40" s="34">
        <f t="shared" si="17"/>
        <v>14593.480000000001</v>
      </c>
    </row>
    <row r="41" spans="2:21" hidden="1" x14ac:dyDescent="0.25"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29"/>
    </row>
    <row r="42" spans="2:21" x14ac:dyDescent="0.25">
      <c r="B42" s="2" t="s">
        <v>140</v>
      </c>
      <c r="C42" s="2" t="s">
        <v>64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29"/>
    </row>
    <row r="43" spans="2:21" x14ac:dyDescent="0.25">
      <c r="B43" t="s">
        <v>133</v>
      </c>
      <c r="C43" t="s">
        <v>99</v>
      </c>
      <c r="D43" t="s">
        <v>80</v>
      </c>
      <c r="E43" s="15">
        <v>5350</v>
      </c>
      <c r="F43" s="29">
        <v>15</v>
      </c>
      <c r="G43" s="15"/>
      <c r="H43" s="15">
        <v>891.66</v>
      </c>
      <c r="I43" s="77"/>
      <c r="J43" s="20"/>
      <c r="K43" s="15">
        <f t="shared" ref="K43:K44" si="18">E43-I43+H43</f>
        <v>6241.66</v>
      </c>
      <c r="L43" s="20">
        <v>0</v>
      </c>
      <c r="M43" s="20">
        <v>586.21</v>
      </c>
      <c r="N43" s="20">
        <v>588.20000000000005</v>
      </c>
      <c r="O43" s="15">
        <v>0</v>
      </c>
      <c r="P43" s="15">
        <f t="shared" ref="P43" si="19">E43*0.115</f>
        <v>615.25</v>
      </c>
      <c r="Q43" s="15">
        <f>SUM(N43:P43)+G43</f>
        <v>1203.45</v>
      </c>
      <c r="R43" s="253">
        <f>K43-Q43</f>
        <v>5038.21</v>
      </c>
      <c r="S43" s="11">
        <v>256.68</v>
      </c>
      <c r="T43" s="11">
        <v>1070</v>
      </c>
      <c r="U43" s="35">
        <f t="shared" ref="U43:U44" si="20">S43+T43</f>
        <v>1326.68</v>
      </c>
    </row>
    <row r="44" spans="2:21" x14ac:dyDescent="0.25">
      <c r="B44" t="s">
        <v>152</v>
      </c>
      <c r="C44" t="s">
        <v>92</v>
      </c>
      <c r="D44" t="s">
        <v>80</v>
      </c>
      <c r="E44" s="15">
        <v>5350</v>
      </c>
      <c r="F44" s="29">
        <v>15</v>
      </c>
      <c r="G44" s="15"/>
      <c r="H44" s="15">
        <v>891.66</v>
      </c>
      <c r="I44" s="15"/>
      <c r="J44" s="15"/>
      <c r="K44" s="15">
        <f t="shared" si="18"/>
        <v>6241.66</v>
      </c>
      <c r="L44" s="15">
        <v>0</v>
      </c>
      <c r="M44" s="15">
        <v>588.20000000000005</v>
      </c>
      <c r="N44" s="15">
        <v>588.20000000000005</v>
      </c>
      <c r="O44" s="15">
        <v>0</v>
      </c>
      <c r="P44" s="15">
        <v>615.25</v>
      </c>
      <c r="Q44" s="15">
        <f>SUM(N44:P44)+G44</f>
        <v>1203.45</v>
      </c>
      <c r="R44" s="253">
        <f>K44-Q44</f>
        <v>5038.21</v>
      </c>
      <c r="S44" s="11">
        <v>256.68</v>
      </c>
      <c r="T44" s="11">
        <v>1070</v>
      </c>
      <c r="U44" s="35">
        <f t="shared" si="20"/>
        <v>1326.68</v>
      </c>
    </row>
    <row r="45" spans="2:21" x14ac:dyDescent="0.25">
      <c r="B45" s="2" t="s">
        <v>26</v>
      </c>
      <c r="C45" s="30"/>
      <c r="D45" s="30"/>
      <c r="E45" s="34">
        <f>E43+E44</f>
        <v>10700</v>
      </c>
      <c r="F45" s="34"/>
      <c r="G45" s="34">
        <f>+G44+G43</f>
        <v>0</v>
      </c>
      <c r="H45" s="34">
        <f>+H44+H43</f>
        <v>1783.32</v>
      </c>
      <c r="I45" s="34">
        <f>I43+I44</f>
        <v>0</v>
      </c>
      <c r="J45" s="34">
        <f>J43+J44</f>
        <v>0</v>
      </c>
      <c r="K45" s="34">
        <f t="shared" ref="K45:U45" si="21">K43+K44</f>
        <v>12483.32</v>
      </c>
      <c r="L45" s="34">
        <f t="shared" si="21"/>
        <v>0</v>
      </c>
      <c r="M45" s="34">
        <f t="shared" si="21"/>
        <v>1174.4100000000001</v>
      </c>
      <c r="N45" s="34">
        <f t="shared" si="21"/>
        <v>1176.4000000000001</v>
      </c>
      <c r="O45" s="34">
        <f t="shared" si="21"/>
        <v>0</v>
      </c>
      <c r="P45" s="34">
        <f>P43+P44</f>
        <v>1230.5</v>
      </c>
      <c r="Q45" s="34">
        <f t="shared" si="21"/>
        <v>2406.9</v>
      </c>
      <c r="R45" s="131">
        <f>R43+R44</f>
        <v>10076.42</v>
      </c>
      <c r="S45" s="34">
        <f t="shared" si="21"/>
        <v>513.36</v>
      </c>
      <c r="T45" s="34">
        <f>T43+T44</f>
        <v>2140</v>
      </c>
      <c r="U45" s="34">
        <f t="shared" si="21"/>
        <v>2653.36</v>
      </c>
    </row>
    <row r="46" spans="2:21" hidden="1" x14ac:dyDescent="0.25">
      <c r="B46" s="2"/>
      <c r="E46" s="15"/>
      <c r="F46" s="15"/>
      <c r="G46" s="15"/>
      <c r="H46" s="15"/>
      <c r="I46" s="15"/>
      <c r="J46" s="15"/>
      <c r="K46" s="16"/>
      <c r="L46" s="16"/>
      <c r="M46" s="16"/>
      <c r="N46" s="16"/>
      <c r="O46" s="16"/>
      <c r="P46" s="16"/>
      <c r="Q46" s="16"/>
      <c r="R46" s="132"/>
      <c r="S46" s="8"/>
      <c r="T46" s="8"/>
      <c r="U46" s="8"/>
    </row>
    <row r="47" spans="2:21" x14ac:dyDescent="0.25">
      <c r="B47" s="2" t="s">
        <v>161</v>
      </c>
      <c r="C47" s="2" t="s">
        <v>162</v>
      </c>
      <c r="E47" s="15"/>
      <c r="F47" s="15"/>
      <c r="G47" s="15"/>
      <c r="H47" s="15"/>
      <c r="I47" s="15"/>
      <c r="J47" s="15"/>
      <c r="K47" s="16"/>
      <c r="L47" s="16"/>
      <c r="M47" s="16"/>
      <c r="N47" s="16"/>
      <c r="O47" s="16"/>
      <c r="P47" s="16"/>
      <c r="Q47" s="16"/>
      <c r="R47" s="132"/>
      <c r="S47" s="8"/>
      <c r="T47" s="8"/>
      <c r="U47" s="8"/>
    </row>
    <row r="48" spans="2:21" x14ac:dyDescent="0.25">
      <c r="B48" t="s">
        <v>163</v>
      </c>
      <c r="C48" s="11" t="s">
        <v>42</v>
      </c>
      <c r="D48" t="s">
        <v>2</v>
      </c>
      <c r="E48" s="15">
        <v>10000</v>
      </c>
      <c r="F48" s="29">
        <v>15</v>
      </c>
      <c r="G48" s="15"/>
      <c r="H48" s="15">
        <v>1666.66</v>
      </c>
      <c r="I48" s="15"/>
      <c r="J48" s="15"/>
      <c r="K48" s="15">
        <f t="shared" ref="K48" si="22">E48-I48+H48</f>
        <v>11666.66</v>
      </c>
      <c r="L48" s="15">
        <v>0</v>
      </c>
      <c r="M48" s="15">
        <v>1581.44</v>
      </c>
      <c r="N48" s="15">
        <f>M48-L48</f>
        <v>1581.44</v>
      </c>
      <c r="O48" s="15">
        <v>0</v>
      </c>
      <c r="P48" s="15">
        <f>E48*0.115</f>
        <v>1150</v>
      </c>
      <c r="Q48" s="15">
        <f>SUM(N48:P48)+G48</f>
        <v>2731.44</v>
      </c>
      <c r="R48" s="253">
        <f>K48-Q48</f>
        <v>8935.2199999999993</v>
      </c>
      <c r="S48" s="11">
        <v>285.52999999999997</v>
      </c>
      <c r="T48" s="11">
        <v>2000</v>
      </c>
      <c r="U48" s="35">
        <f>S48+T48</f>
        <v>2285.5299999999997</v>
      </c>
    </row>
    <row r="49" spans="2:21" x14ac:dyDescent="0.25">
      <c r="B49" s="2" t="s">
        <v>26</v>
      </c>
      <c r="E49" s="34">
        <f>E48</f>
        <v>10000</v>
      </c>
      <c r="F49" s="34"/>
      <c r="G49" s="34">
        <f>+G48</f>
        <v>0</v>
      </c>
      <c r="H49" s="34">
        <f>+H48</f>
        <v>1666.66</v>
      </c>
      <c r="I49" s="34">
        <f>I48</f>
        <v>0</v>
      </c>
      <c r="J49" s="34">
        <f>J48</f>
        <v>0</v>
      </c>
      <c r="K49" s="34">
        <f t="shared" ref="K49:U49" si="23">K48</f>
        <v>11666.66</v>
      </c>
      <c r="L49" s="34">
        <f t="shared" si="23"/>
        <v>0</v>
      </c>
      <c r="M49" s="34">
        <f t="shared" si="23"/>
        <v>1581.44</v>
      </c>
      <c r="N49" s="34">
        <f t="shared" si="23"/>
        <v>1581.44</v>
      </c>
      <c r="O49" s="34">
        <f t="shared" si="23"/>
        <v>0</v>
      </c>
      <c r="P49" s="34">
        <f>P48</f>
        <v>1150</v>
      </c>
      <c r="Q49" s="34">
        <f t="shared" si="23"/>
        <v>2731.44</v>
      </c>
      <c r="R49" s="131">
        <f>R48</f>
        <v>8935.2199999999993</v>
      </c>
      <c r="S49" s="34">
        <f t="shared" si="23"/>
        <v>285.52999999999997</v>
      </c>
      <c r="T49" s="34">
        <f>T48</f>
        <v>2000</v>
      </c>
      <c r="U49" s="34">
        <f t="shared" si="23"/>
        <v>2285.5299999999997</v>
      </c>
    </row>
    <row r="50" spans="2:21" ht="12" customHeight="1" x14ac:dyDescent="0.25">
      <c r="B50" s="2"/>
      <c r="E50" s="15"/>
      <c r="F50" s="15"/>
      <c r="G50" s="15"/>
      <c r="H50" s="15"/>
      <c r="I50" s="15"/>
      <c r="J50" s="15"/>
      <c r="K50" s="16"/>
      <c r="L50" s="16"/>
      <c r="M50" s="16"/>
      <c r="N50" s="16"/>
      <c r="O50" s="16"/>
      <c r="P50" s="16"/>
      <c r="Q50" s="16"/>
      <c r="R50" s="132"/>
      <c r="S50" s="8"/>
      <c r="T50" s="8"/>
      <c r="U50" s="8"/>
    </row>
    <row r="51" spans="2:21" hidden="1" x14ac:dyDescent="0.25"/>
    <row r="52" spans="2:21" ht="18.75" x14ac:dyDescent="0.3">
      <c r="C52" s="53" t="s">
        <v>105</v>
      </c>
      <c r="E52" s="17">
        <f>E9+E20+E26+E40+E45+E49</f>
        <v>158954.95000000001</v>
      </c>
      <c r="F52" s="17"/>
      <c r="G52" s="17">
        <f>G9+G20+G26+G40+G45+G49</f>
        <v>18485.62</v>
      </c>
      <c r="H52" s="17">
        <f>H9+H20+H26+H40+H45+H49</f>
        <v>26492.359999999997</v>
      </c>
      <c r="I52" s="17">
        <f>I9+I20+I26+I40+I45+I49</f>
        <v>782.05000000000018</v>
      </c>
      <c r="J52" s="17">
        <f t="shared" ref="J52:U52" si="24">J9+J20+J26+J40+J45+J49</f>
        <v>0</v>
      </c>
      <c r="K52" s="17">
        <f>K9+K20+K26+K40+K45+K49</f>
        <v>184665.26</v>
      </c>
      <c r="L52" s="17">
        <f t="shared" si="24"/>
        <v>274.08999999999997</v>
      </c>
      <c r="M52" s="17">
        <f t="shared" si="24"/>
        <v>19286.219999999998</v>
      </c>
      <c r="N52" s="17">
        <f t="shared" si="24"/>
        <v>19225.43</v>
      </c>
      <c r="O52" s="17">
        <f t="shared" si="24"/>
        <v>0</v>
      </c>
      <c r="P52" s="17">
        <f>P9+P20+P26+P40+P45+P49</f>
        <v>18279.81925</v>
      </c>
      <c r="Q52" s="17">
        <f t="shared" si="24"/>
        <v>55990.869250000011</v>
      </c>
      <c r="R52" s="134">
        <f>R9+R20+R26+R40+R45+R49</f>
        <v>128674.39074999999</v>
      </c>
      <c r="S52" s="17">
        <f>S9+S20+S26+S40+S45+S49</f>
        <v>7020.3799999999992</v>
      </c>
      <c r="T52" s="17">
        <f>T9+T20+T26+T40+T45+T49</f>
        <v>31790.989999999998</v>
      </c>
      <c r="U52" s="55">
        <f t="shared" si="24"/>
        <v>38811.370000000003</v>
      </c>
    </row>
    <row r="55" spans="2:21" ht="16.5" thickBot="1" x14ac:dyDescent="0.3">
      <c r="E55" s="375"/>
      <c r="F55" s="375"/>
      <c r="G55" s="248"/>
      <c r="H55" s="248"/>
      <c r="P55" s="376"/>
      <c r="Q55" s="376"/>
    </row>
    <row r="56" spans="2:21" ht="15" x14ac:dyDescent="0.25">
      <c r="E56" s="377" t="s">
        <v>177</v>
      </c>
      <c r="F56" s="377"/>
      <c r="G56" s="249"/>
      <c r="H56" s="249"/>
      <c r="P56" s="26"/>
      <c r="Q56" s="26"/>
      <c r="R56" s="378" t="s">
        <v>157</v>
      </c>
      <c r="S56" s="378"/>
    </row>
    <row r="60" spans="2:21" x14ac:dyDescent="0.25">
      <c r="C60" t="s">
        <v>174</v>
      </c>
    </row>
  </sheetData>
  <mergeCells count="5">
    <mergeCell ref="B4:U4"/>
    <mergeCell ref="E55:F55"/>
    <mergeCell ref="P55:Q55"/>
    <mergeCell ref="E56:F56"/>
    <mergeCell ref="R56:S56"/>
  </mergeCells>
  <pageMargins left="0.51181102362204722" right="0.51181102362204722" top="0.15748031496062992" bottom="0.35433070866141736" header="0.31496062992125984" footer="0.31496062992125984"/>
  <pageSetup scale="41" fitToHeight="0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V60"/>
  <sheetViews>
    <sheetView topLeftCell="C23" zoomScale="85" zoomScaleNormal="85" workbookViewId="0">
      <selection activeCell="R52" sqref="R52"/>
    </sheetView>
  </sheetViews>
  <sheetFormatPr baseColWidth="10" defaultRowHeight="15.75" x14ac:dyDescent="0.25"/>
  <cols>
    <col min="1" max="1" width="0.7109375" customWidth="1"/>
    <col min="2" max="2" width="17.140625" customWidth="1"/>
    <col min="3" max="3" width="34.140625" customWidth="1"/>
    <col min="4" max="4" width="28" customWidth="1"/>
    <col min="5" max="5" width="18.42578125" customWidth="1"/>
    <col min="6" max="6" width="12.7109375" customWidth="1"/>
    <col min="7" max="7" width="12.28515625" customWidth="1"/>
    <col min="8" max="8" width="14.140625" customWidth="1"/>
    <col min="9" max="9" width="13.85546875" customWidth="1"/>
    <col min="10" max="10" width="11.42578125" customWidth="1"/>
    <col min="11" max="11" width="13.85546875" customWidth="1"/>
    <col min="12" max="12" width="9.42578125" customWidth="1"/>
    <col min="13" max="13" width="14.42578125" customWidth="1"/>
    <col min="14" max="14" width="12.7109375" customWidth="1"/>
    <col min="15" max="15" width="11.42578125" customWidth="1"/>
    <col min="16" max="16" width="12.85546875" customWidth="1"/>
    <col min="17" max="17" width="16.5703125" customWidth="1"/>
    <col min="18" max="18" width="18.28515625" style="133" customWidth="1"/>
    <col min="19" max="19" width="16.140625" customWidth="1"/>
    <col min="20" max="20" width="14.85546875" customWidth="1"/>
    <col min="21" max="21" width="17" customWidth="1"/>
  </cols>
  <sheetData>
    <row r="3" spans="2:22" x14ac:dyDescent="0.25"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29"/>
    </row>
    <row r="4" spans="2:22" ht="16.5" customHeight="1" x14ac:dyDescent="0.25">
      <c r="B4" s="380" t="s">
        <v>216</v>
      </c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</row>
    <row r="5" spans="2:22" s="56" customFormat="1" ht="39.75" customHeight="1" x14ac:dyDescent="0.25">
      <c r="B5" s="120" t="s">
        <v>9</v>
      </c>
      <c r="C5" s="119" t="s">
        <v>10</v>
      </c>
      <c r="D5" s="103" t="s">
        <v>0</v>
      </c>
      <c r="E5" s="61" t="s">
        <v>11</v>
      </c>
      <c r="F5" s="100" t="s">
        <v>150</v>
      </c>
      <c r="G5" s="117" t="s">
        <v>180</v>
      </c>
      <c r="H5" s="118" t="s">
        <v>182</v>
      </c>
      <c r="I5" s="97" t="s">
        <v>169</v>
      </c>
      <c r="J5" s="103" t="s">
        <v>170</v>
      </c>
      <c r="K5" s="103" t="s">
        <v>12</v>
      </c>
      <c r="L5" s="99" t="s">
        <v>107</v>
      </c>
      <c r="M5" s="100" t="s">
        <v>143</v>
      </c>
      <c r="N5" s="100" t="s">
        <v>13</v>
      </c>
      <c r="O5" s="101" t="s">
        <v>171</v>
      </c>
      <c r="P5" s="116" t="s">
        <v>16</v>
      </c>
      <c r="Q5" s="115" t="s">
        <v>17</v>
      </c>
      <c r="R5" s="130" t="s">
        <v>72</v>
      </c>
      <c r="S5" s="99" t="s">
        <v>8</v>
      </c>
      <c r="T5" s="123" t="s">
        <v>18</v>
      </c>
      <c r="U5" s="123" t="s">
        <v>73</v>
      </c>
      <c r="V5" s="102"/>
    </row>
    <row r="6" spans="2:22" x14ac:dyDescent="0.25">
      <c r="B6" s="107" t="s">
        <v>19</v>
      </c>
      <c r="C6" s="121" t="s">
        <v>20</v>
      </c>
      <c r="D6" s="121"/>
      <c r="E6" s="95"/>
      <c r="F6" s="15"/>
      <c r="G6" s="114"/>
      <c r="H6" s="15"/>
      <c r="I6" s="95"/>
      <c r="J6" s="95"/>
      <c r="K6" s="95"/>
      <c r="L6" s="15"/>
      <c r="M6" s="15"/>
      <c r="N6" s="15"/>
      <c r="O6" s="95"/>
      <c r="P6" s="15"/>
      <c r="Q6" s="95"/>
      <c r="R6" s="129"/>
    </row>
    <row r="7" spans="2:22" x14ac:dyDescent="0.25">
      <c r="B7" t="s">
        <v>21</v>
      </c>
      <c r="C7" s="11" t="s">
        <v>22</v>
      </c>
      <c r="D7" t="s">
        <v>25</v>
      </c>
      <c r="E7" s="15">
        <v>16954.95</v>
      </c>
      <c r="F7" s="29">
        <v>15</v>
      </c>
      <c r="G7" s="73">
        <v>2700</v>
      </c>
      <c r="H7" s="15"/>
      <c r="I7" s="15"/>
      <c r="J7" s="15"/>
      <c r="K7" s="15">
        <f>E7-I7</f>
        <v>16954.95</v>
      </c>
      <c r="L7" s="15">
        <v>0</v>
      </c>
      <c r="M7" s="15">
        <v>3246.93</v>
      </c>
      <c r="N7" s="15">
        <f>M7-L7</f>
        <v>3246.93</v>
      </c>
      <c r="O7" s="15">
        <v>0</v>
      </c>
      <c r="P7" s="20">
        <f>E7*0.115</f>
        <v>1949.8192500000002</v>
      </c>
      <c r="Q7" s="15">
        <f>SUM(N7:P7)+G7</f>
        <v>7896.7492499999998</v>
      </c>
      <c r="R7" s="260">
        <f>K7-Q7</f>
        <v>9058.20075</v>
      </c>
      <c r="S7" s="11">
        <v>328.67</v>
      </c>
      <c r="T7" s="11">
        <v>3390.99</v>
      </c>
      <c r="U7" s="35">
        <f>SUM(S7:T7)</f>
        <v>3719.66</v>
      </c>
    </row>
    <row r="8" spans="2:22" x14ac:dyDescent="0.25">
      <c r="B8" t="s">
        <v>23</v>
      </c>
      <c r="C8" s="11" t="s">
        <v>24</v>
      </c>
      <c r="D8" t="s">
        <v>3</v>
      </c>
      <c r="E8" s="15">
        <v>4850</v>
      </c>
      <c r="F8" s="29">
        <v>15</v>
      </c>
      <c r="G8" s="73">
        <v>809</v>
      </c>
      <c r="H8" s="15"/>
      <c r="I8" s="15"/>
      <c r="J8" s="15"/>
      <c r="K8" s="15">
        <f>E8-I8</f>
        <v>4850</v>
      </c>
      <c r="L8" s="15">
        <v>0</v>
      </c>
      <c r="M8" s="15">
        <v>491.69</v>
      </c>
      <c r="N8" s="15">
        <f>M8-L8</f>
        <v>491.69</v>
      </c>
      <c r="O8" s="15">
        <v>0</v>
      </c>
      <c r="P8" s="20">
        <f>E8*0.115</f>
        <v>557.75</v>
      </c>
      <c r="Q8" s="15">
        <f>SUM(N8:P8)+G8</f>
        <v>1858.44</v>
      </c>
      <c r="R8" s="135">
        <f>K8-Q8</f>
        <v>2991.56</v>
      </c>
      <c r="S8" s="11">
        <v>253.58</v>
      </c>
      <c r="T8" s="11">
        <v>970</v>
      </c>
      <c r="U8" s="35">
        <f t="shared" ref="U8" si="0">SUM(S8:T8)</f>
        <v>1223.58</v>
      </c>
    </row>
    <row r="9" spans="2:22" x14ac:dyDescent="0.25">
      <c r="B9" s="7" t="s">
        <v>26</v>
      </c>
      <c r="C9" s="30"/>
      <c r="D9" s="30"/>
      <c r="E9" s="34">
        <f>SUM(E7:E8)</f>
        <v>21804.95</v>
      </c>
      <c r="F9" s="34"/>
      <c r="G9" s="34">
        <f>+G8+G7</f>
        <v>3509</v>
      </c>
      <c r="H9" s="34"/>
      <c r="I9" s="34">
        <f t="shared" ref="I9:U9" si="1">SUM(I7:I8)</f>
        <v>0</v>
      </c>
      <c r="J9" s="34">
        <f t="shared" si="1"/>
        <v>0</v>
      </c>
      <c r="K9" s="34">
        <f t="shared" si="1"/>
        <v>21804.95</v>
      </c>
      <c r="L9" s="34">
        <f t="shared" si="1"/>
        <v>0</v>
      </c>
      <c r="M9" s="34">
        <f t="shared" si="1"/>
        <v>3738.62</v>
      </c>
      <c r="N9" s="34">
        <f t="shared" si="1"/>
        <v>3738.62</v>
      </c>
      <c r="O9" s="34">
        <f t="shared" si="1"/>
        <v>0</v>
      </c>
      <c r="P9" s="34">
        <f>SUM(P7:P8)</f>
        <v>2507.5692500000005</v>
      </c>
      <c r="Q9" s="34">
        <f t="shared" si="1"/>
        <v>9755.1892499999994</v>
      </c>
      <c r="R9" s="131">
        <f t="shared" si="1"/>
        <v>12049.760749999999</v>
      </c>
      <c r="S9" s="34">
        <f t="shared" si="1"/>
        <v>582.25</v>
      </c>
      <c r="T9" s="34">
        <f t="shared" si="1"/>
        <v>4360.99</v>
      </c>
      <c r="U9" s="34">
        <f t="shared" si="1"/>
        <v>4943.24</v>
      </c>
    </row>
    <row r="10" spans="2:22" ht="10.5" hidden="1" customHeight="1" x14ac:dyDescent="0.25"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29"/>
    </row>
    <row r="11" spans="2:22" x14ac:dyDescent="0.25">
      <c r="B11" s="2" t="s">
        <v>27</v>
      </c>
      <c r="C11" s="2" t="s">
        <v>28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29"/>
    </row>
    <row r="12" spans="2:22" x14ac:dyDescent="0.25">
      <c r="B12" t="s">
        <v>32</v>
      </c>
      <c r="C12" s="11" t="s">
        <v>37</v>
      </c>
      <c r="D12" t="s">
        <v>1</v>
      </c>
      <c r="E12" s="15">
        <v>10000</v>
      </c>
      <c r="F12" s="29">
        <v>15</v>
      </c>
      <c r="G12" s="73">
        <v>3334</v>
      </c>
      <c r="H12" s="15"/>
      <c r="I12" s="15"/>
      <c r="J12" s="15"/>
      <c r="K12" s="15">
        <f t="shared" ref="K12:K18" si="2">E12-I12</f>
        <v>10000</v>
      </c>
      <c r="L12" s="15">
        <v>0</v>
      </c>
      <c r="M12" s="15">
        <v>1581.44</v>
      </c>
      <c r="N12" s="15">
        <f>M12-L12</f>
        <v>1581.44</v>
      </c>
      <c r="O12" s="15">
        <v>0</v>
      </c>
      <c r="P12" s="15">
        <f t="shared" ref="P12:P19" si="3">E12*0.115</f>
        <v>1150</v>
      </c>
      <c r="Q12" s="15">
        <f>SUM(N12:P12)+G12</f>
        <v>6065.4400000000005</v>
      </c>
      <c r="R12" s="135">
        <f t="shared" ref="R12:R19" si="4">K12-Q12</f>
        <v>3934.5599999999995</v>
      </c>
      <c r="S12" s="11">
        <v>285.52999999999997</v>
      </c>
      <c r="T12" s="11">
        <v>2000</v>
      </c>
      <c r="U12" s="35">
        <f>S12+T12</f>
        <v>2285.5299999999997</v>
      </c>
    </row>
    <row r="13" spans="2:22" x14ac:dyDescent="0.25">
      <c r="B13" t="s">
        <v>33</v>
      </c>
      <c r="C13" s="11" t="s">
        <v>38</v>
      </c>
      <c r="D13" t="s">
        <v>74</v>
      </c>
      <c r="E13" s="15">
        <v>5350</v>
      </c>
      <c r="F13" s="29">
        <v>15</v>
      </c>
      <c r="G13" s="15"/>
      <c r="H13" s="15"/>
      <c r="I13" s="77"/>
      <c r="J13" s="19"/>
      <c r="K13" s="15">
        <f>E13-I13</f>
        <v>5350</v>
      </c>
      <c r="L13" s="15">
        <v>0</v>
      </c>
      <c r="M13" s="15">
        <v>586.75</v>
      </c>
      <c r="N13" s="15">
        <v>588.20000000000005</v>
      </c>
      <c r="O13" s="15">
        <v>0</v>
      </c>
      <c r="P13" s="15">
        <f t="shared" si="3"/>
        <v>615.25</v>
      </c>
      <c r="Q13" s="15">
        <f t="shared" ref="Q13:Q19" si="5">SUM(N13:P13)+G13</f>
        <v>1203.45</v>
      </c>
      <c r="R13" s="135">
        <f t="shared" si="4"/>
        <v>4146.55</v>
      </c>
      <c r="S13" s="11">
        <v>256.68</v>
      </c>
      <c r="T13" s="11">
        <v>1070</v>
      </c>
      <c r="U13" s="35">
        <f>S13+T13</f>
        <v>1326.68</v>
      </c>
    </row>
    <row r="14" spans="2:22" x14ac:dyDescent="0.25">
      <c r="B14" t="s">
        <v>34</v>
      </c>
      <c r="C14" s="11" t="s">
        <v>178</v>
      </c>
      <c r="D14" t="s">
        <v>179</v>
      </c>
      <c r="E14" s="15">
        <v>5350</v>
      </c>
      <c r="F14" s="29">
        <v>15</v>
      </c>
      <c r="G14" s="15"/>
      <c r="H14" s="20"/>
      <c r="I14" s="19"/>
      <c r="J14" s="19"/>
      <c r="K14" s="15">
        <f>+E14+H14</f>
        <v>5350</v>
      </c>
      <c r="L14" s="15">
        <v>0</v>
      </c>
      <c r="M14" s="15">
        <v>586.75</v>
      </c>
      <c r="N14" s="15">
        <v>588.20000000000005</v>
      </c>
      <c r="O14" s="15">
        <v>0</v>
      </c>
      <c r="P14" s="113">
        <v>615.25</v>
      </c>
      <c r="Q14" s="15">
        <f>SUM(N14:P14)+G14</f>
        <v>1203.45</v>
      </c>
      <c r="R14" s="135">
        <f>K14-Q14</f>
        <v>4146.55</v>
      </c>
      <c r="S14" s="11">
        <v>256.68</v>
      </c>
      <c r="T14" s="11">
        <v>1070</v>
      </c>
      <c r="U14" s="35">
        <f>S14+T14</f>
        <v>1326.68</v>
      </c>
    </row>
    <row r="15" spans="2:22" x14ac:dyDescent="0.25">
      <c r="B15" t="s">
        <v>35</v>
      </c>
      <c r="C15" t="s">
        <v>111</v>
      </c>
      <c r="D15" t="s">
        <v>77</v>
      </c>
      <c r="E15" s="15">
        <v>6000</v>
      </c>
      <c r="F15" s="29">
        <v>15</v>
      </c>
      <c r="G15" s="15"/>
      <c r="H15" s="15"/>
      <c r="I15" s="15"/>
      <c r="J15" s="15"/>
      <c r="K15" s="15">
        <f t="shared" si="2"/>
        <v>6000</v>
      </c>
      <c r="L15" s="15">
        <v>0</v>
      </c>
      <c r="M15" s="15">
        <v>727.04</v>
      </c>
      <c r="N15" s="15">
        <f t="shared" ref="N15:N19" si="6">M15-L15</f>
        <v>727.04</v>
      </c>
      <c r="O15" s="15">
        <v>0</v>
      </c>
      <c r="P15" s="15">
        <f>E15*0.115</f>
        <v>690</v>
      </c>
      <c r="Q15" s="15">
        <f t="shared" si="5"/>
        <v>1417.04</v>
      </c>
      <c r="R15" s="135">
        <f t="shared" si="4"/>
        <v>4582.96</v>
      </c>
      <c r="S15" s="11">
        <v>260.72000000000003</v>
      </c>
      <c r="T15" s="11">
        <v>1200</v>
      </c>
      <c r="U15" s="35">
        <f>S15+T15</f>
        <v>1460.72</v>
      </c>
    </row>
    <row r="16" spans="2:22" x14ac:dyDescent="0.25">
      <c r="B16" t="s">
        <v>36</v>
      </c>
      <c r="C16" t="s">
        <v>86</v>
      </c>
      <c r="D16" t="s">
        <v>39</v>
      </c>
      <c r="E16" s="15">
        <v>4500</v>
      </c>
      <c r="F16" s="29">
        <v>15</v>
      </c>
      <c r="G16" s="73">
        <v>750</v>
      </c>
      <c r="H16" s="15"/>
      <c r="I16" s="15"/>
      <c r="J16" s="15"/>
      <c r="K16" s="15">
        <f t="shared" si="2"/>
        <v>4500</v>
      </c>
      <c r="L16" s="15">
        <v>0</v>
      </c>
      <c r="M16" s="15">
        <v>428.97</v>
      </c>
      <c r="N16" s="15">
        <f t="shared" si="6"/>
        <v>428.97</v>
      </c>
      <c r="O16" s="15">
        <v>0</v>
      </c>
      <c r="P16" s="15">
        <f t="shared" si="3"/>
        <v>517.5</v>
      </c>
      <c r="Q16" s="15">
        <f t="shared" si="5"/>
        <v>1696.47</v>
      </c>
      <c r="R16" s="135">
        <f t="shared" si="4"/>
        <v>2803.5299999999997</v>
      </c>
      <c r="S16" s="11">
        <v>251.41</v>
      </c>
      <c r="T16" s="11">
        <v>900</v>
      </c>
      <c r="U16" s="35">
        <f>S16+T16</f>
        <v>1151.4100000000001</v>
      </c>
    </row>
    <row r="17" spans="2:21" x14ac:dyDescent="0.25">
      <c r="B17" t="s">
        <v>115</v>
      </c>
      <c r="C17" t="s">
        <v>87</v>
      </c>
      <c r="D17" t="s">
        <v>39</v>
      </c>
      <c r="E17" s="15">
        <v>4500</v>
      </c>
      <c r="F17" s="29">
        <v>15</v>
      </c>
      <c r="G17" s="73">
        <v>610</v>
      </c>
      <c r="H17" s="15"/>
      <c r="I17" s="15"/>
      <c r="J17" s="15"/>
      <c r="K17" s="15">
        <f t="shared" si="2"/>
        <v>4500</v>
      </c>
      <c r="L17" s="15">
        <v>0</v>
      </c>
      <c r="M17" s="15">
        <v>428.97</v>
      </c>
      <c r="N17" s="15">
        <v>428.97</v>
      </c>
      <c r="O17" s="15">
        <v>0</v>
      </c>
      <c r="P17" s="15">
        <f t="shared" si="3"/>
        <v>517.5</v>
      </c>
      <c r="Q17" s="15">
        <f t="shared" si="5"/>
        <v>1556.47</v>
      </c>
      <c r="R17" s="135">
        <f t="shared" si="4"/>
        <v>2943.5299999999997</v>
      </c>
      <c r="S17" s="11">
        <v>251.41</v>
      </c>
      <c r="T17" s="11">
        <v>900</v>
      </c>
      <c r="U17" s="35">
        <f t="shared" ref="U17:U19" si="7">S17+T17</f>
        <v>1151.4100000000001</v>
      </c>
    </row>
    <row r="18" spans="2:21" x14ac:dyDescent="0.25">
      <c r="B18" t="s">
        <v>116</v>
      </c>
      <c r="C18" t="s">
        <v>89</v>
      </c>
      <c r="D18" t="s">
        <v>4</v>
      </c>
      <c r="E18" s="15">
        <v>2700</v>
      </c>
      <c r="F18" s="29">
        <v>15</v>
      </c>
      <c r="G18" s="73">
        <v>450</v>
      </c>
      <c r="H18" s="15"/>
      <c r="I18" s="15"/>
      <c r="J18" s="15"/>
      <c r="K18" s="15">
        <f t="shared" si="2"/>
        <v>2700</v>
      </c>
      <c r="L18" s="15">
        <v>147.32</v>
      </c>
      <c r="M18" s="15">
        <v>188.33</v>
      </c>
      <c r="N18" s="15">
        <f t="shared" si="6"/>
        <v>41.010000000000019</v>
      </c>
      <c r="O18" s="15">
        <v>0</v>
      </c>
      <c r="P18" s="20">
        <f t="shared" si="3"/>
        <v>310.5</v>
      </c>
      <c r="Q18" s="15">
        <f t="shared" si="5"/>
        <v>801.51</v>
      </c>
      <c r="R18" s="135">
        <f t="shared" si="4"/>
        <v>1898.49</v>
      </c>
      <c r="S18" s="11">
        <v>240.25</v>
      </c>
      <c r="T18" s="11">
        <v>540</v>
      </c>
      <c r="U18" s="35">
        <f t="shared" si="7"/>
        <v>780.25</v>
      </c>
    </row>
    <row r="19" spans="2:21" x14ac:dyDescent="0.25">
      <c r="B19" t="s">
        <v>117</v>
      </c>
      <c r="C19" t="s">
        <v>88</v>
      </c>
      <c r="D19" t="s">
        <v>40</v>
      </c>
      <c r="E19" s="15">
        <v>3150</v>
      </c>
      <c r="F19" s="29">
        <v>15</v>
      </c>
      <c r="G19" s="73">
        <v>525</v>
      </c>
      <c r="H19" s="15"/>
      <c r="I19" s="15"/>
      <c r="J19" s="15"/>
      <c r="K19" s="15">
        <f>E19-I19</f>
        <v>3150</v>
      </c>
      <c r="L19" s="15">
        <v>126.77</v>
      </c>
      <c r="M19" s="15">
        <v>237.29</v>
      </c>
      <c r="N19" s="15">
        <f t="shared" si="6"/>
        <v>110.52</v>
      </c>
      <c r="O19" s="15">
        <v>0</v>
      </c>
      <c r="P19" s="20">
        <f t="shared" si="3"/>
        <v>362.25</v>
      </c>
      <c r="Q19" s="15">
        <f t="shared" si="5"/>
        <v>997.77</v>
      </c>
      <c r="R19" s="135">
        <f t="shared" si="4"/>
        <v>2152.23</v>
      </c>
      <c r="S19" s="11">
        <v>243.04</v>
      </c>
      <c r="T19" s="11">
        <v>630</v>
      </c>
      <c r="U19" s="35">
        <f t="shared" si="7"/>
        <v>873.04</v>
      </c>
    </row>
    <row r="20" spans="2:21" x14ac:dyDescent="0.25">
      <c r="B20" s="2" t="s">
        <v>26</v>
      </c>
      <c r="C20" s="30"/>
      <c r="D20" s="30"/>
      <c r="E20" s="34">
        <f>SUM(E12:E19)</f>
        <v>41550</v>
      </c>
      <c r="F20" s="34"/>
      <c r="G20" s="34">
        <f>+G19+G18+G17+G16+G12</f>
        <v>5669</v>
      </c>
      <c r="H20" s="34"/>
      <c r="I20" s="34">
        <f t="shared" ref="I20:U20" si="8">SUM(I12:I19)</f>
        <v>0</v>
      </c>
      <c r="J20" s="34">
        <f t="shared" si="8"/>
        <v>0</v>
      </c>
      <c r="K20" s="34">
        <f t="shared" si="8"/>
        <v>41550</v>
      </c>
      <c r="L20" s="34">
        <f t="shared" si="8"/>
        <v>274.08999999999997</v>
      </c>
      <c r="M20" s="34">
        <f t="shared" si="8"/>
        <v>4765.54</v>
      </c>
      <c r="N20" s="34">
        <f t="shared" si="8"/>
        <v>4494.3500000000013</v>
      </c>
      <c r="O20" s="34">
        <f t="shared" si="8"/>
        <v>0</v>
      </c>
      <c r="P20" s="34">
        <f>SUM(P12:P19)</f>
        <v>4778.25</v>
      </c>
      <c r="Q20" s="34">
        <f t="shared" si="8"/>
        <v>14941.6</v>
      </c>
      <c r="R20" s="131">
        <f t="shared" si="8"/>
        <v>26608.399999999998</v>
      </c>
      <c r="S20" s="34">
        <f t="shared" si="8"/>
        <v>2045.7200000000003</v>
      </c>
      <c r="T20" s="34">
        <f t="shared" si="8"/>
        <v>8310</v>
      </c>
      <c r="U20" s="34">
        <f t="shared" si="8"/>
        <v>10355.720000000001</v>
      </c>
    </row>
    <row r="21" spans="2:21" hidden="1" x14ac:dyDescent="0.25">
      <c r="B21" s="2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29"/>
    </row>
    <row r="22" spans="2:21" ht="16.5" thickBot="1" x14ac:dyDescent="0.3">
      <c r="B22" s="2" t="s">
        <v>50</v>
      </c>
      <c r="C22" s="2" t="s">
        <v>160</v>
      </c>
      <c r="E22" s="15"/>
      <c r="F22" s="15"/>
      <c r="G22" s="15"/>
      <c r="H22" s="15"/>
      <c r="I22" s="15"/>
      <c r="J22" s="15"/>
      <c r="K22" s="113"/>
      <c r="L22" s="113"/>
      <c r="M22" s="15"/>
      <c r="N22" s="15"/>
      <c r="O22" s="15"/>
      <c r="P22" s="15"/>
      <c r="Q22" s="15"/>
      <c r="R22" s="129"/>
    </row>
    <row r="23" spans="2:21" ht="16.5" thickBot="1" x14ac:dyDescent="0.3">
      <c r="B23" t="s">
        <v>119</v>
      </c>
      <c r="C23" t="s">
        <v>91</v>
      </c>
      <c r="D23" t="s">
        <v>76</v>
      </c>
      <c r="E23" s="15">
        <v>5350</v>
      </c>
      <c r="F23" s="29">
        <v>15</v>
      </c>
      <c r="G23" s="73">
        <v>892</v>
      </c>
      <c r="H23" s="15"/>
      <c r="I23" s="250">
        <f>28.02+713.34</f>
        <v>741.36</v>
      </c>
      <c r="J23" s="15"/>
      <c r="K23" s="15">
        <f>E23-I23</f>
        <v>4608.6400000000003</v>
      </c>
      <c r="L23" s="15">
        <v>0</v>
      </c>
      <c r="M23" s="15">
        <v>453.47</v>
      </c>
      <c r="N23" s="15">
        <v>588.20000000000005</v>
      </c>
      <c r="O23" s="15">
        <v>0</v>
      </c>
      <c r="P23" s="20">
        <f>E23*0.115</f>
        <v>615.25</v>
      </c>
      <c r="Q23" s="15">
        <f>SUM(N23:P23)+G23</f>
        <v>2095.4499999999998</v>
      </c>
      <c r="R23" s="135">
        <f>K23-Q23</f>
        <v>2513.1900000000005</v>
      </c>
      <c r="S23" s="11">
        <v>256.68</v>
      </c>
      <c r="T23" s="11">
        <v>1070</v>
      </c>
      <c r="U23" s="35">
        <f>S23+T23</f>
        <v>1326.68</v>
      </c>
    </row>
    <row r="24" spans="2:21" x14ac:dyDescent="0.25">
      <c r="B24" t="s">
        <v>120</v>
      </c>
      <c r="C24" t="s">
        <v>93</v>
      </c>
      <c r="D24" t="s">
        <v>78</v>
      </c>
      <c r="E24" s="15">
        <v>5350</v>
      </c>
      <c r="F24" s="29">
        <v>15</v>
      </c>
      <c r="G24" s="73">
        <v>1115</v>
      </c>
      <c r="H24" s="15"/>
      <c r="I24" s="71"/>
      <c r="J24" s="15"/>
      <c r="K24" s="15">
        <f>E24-I24</f>
        <v>5350</v>
      </c>
      <c r="L24" s="15">
        <v>0</v>
      </c>
      <c r="M24" s="15">
        <v>588.20000000000005</v>
      </c>
      <c r="N24" s="15">
        <f>M24-L24</f>
        <v>588.20000000000005</v>
      </c>
      <c r="O24" s="15">
        <v>0</v>
      </c>
      <c r="P24" s="20">
        <f>E24*0.115</f>
        <v>615.25</v>
      </c>
      <c r="Q24" s="15">
        <f>SUM(N24:P24)+G24</f>
        <v>2318.4499999999998</v>
      </c>
      <c r="R24" s="135">
        <f>K24-Q24</f>
        <v>3031.55</v>
      </c>
      <c r="S24" s="11">
        <v>256.68</v>
      </c>
      <c r="T24" s="11">
        <v>1070</v>
      </c>
      <c r="U24" s="35">
        <f>S24+T24</f>
        <v>1326.68</v>
      </c>
    </row>
    <row r="25" spans="2:21" x14ac:dyDescent="0.25">
      <c r="B25" t="s">
        <v>121</v>
      </c>
      <c r="C25" t="s">
        <v>114</v>
      </c>
      <c r="D25" t="s">
        <v>186</v>
      </c>
      <c r="E25" s="15">
        <v>5350</v>
      </c>
      <c r="F25" s="29">
        <v>15</v>
      </c>
      <c r="G25" s="15"/>
      <c r="H25" s="15"/>
      <c r="I25" s="71"/>
      <c r="J25" s="15"/>
      <c r="K25" s="15">
        <f>E25-I25</f>
        <v>5350</v>
      </c>
      <c r="L25" s="15">
        <v>0</v>
      </c>
      <c r="M25" s="15">
        <v>588.20000000000005</v>
      </c>
      <c r="N25" s="15">
        <f>M25-L25</f>
        <v>588.20000000000005</v>
      </c>
      <c r="O25" s="15">
        <v>0</v>
      </c>
      <c r="P25" s="20">
        <f>E25*0.115</f>
        <v>615.25</v>
      </c>
      <c r="Q25" s="15">
        <f>SUM(N25:P25)+G25</f>
        <v>1203.45</v>
      </c>
      <c r="R25" s="135">
        <f>K25-Q25</f>
        <v>4146.55</v>
      </c>
      <c r="S25" s="11">
        <v>256.68</v>
      </c>
      <c r="T25" s="11">
        <v>1070</v>
      </c>
      <c r="U25" s="35">
        <f>S25+T25</f>
        <v>1326.68</v>
      </c>
    </row>
    <row r="26" spans="2:21" x14ac:dyDescent="0.25">
      <c r="B26" s="2" t="s">
        <v>26</v>
      </c>
      <c r="C26" s="30"/>
      <c r="D26" s="30"/>
      <c r="E26" s="34">
        <f>SUM(E23:E25)</f>
        <v>16050</v>
      </c>
      <c r="F26" s="34"/>
      <c r="G26" s="34">
        <f>+G25+G24+G23</f>
        <v>2007</v>
      </c>
      <c r="H26" s="34"/>
      <c r="I26" s="34">
        <f>SUM(I23:I25)</f>
        <v>741.36</v>
      </c>
      <c r="J26" s="34">
        <f>SUM(J23:J25)</f>
        <v>0</v>
      </c>
      <c r="K26" s="34">
        <f t="shared" ref="K26:U26" si="9">SUM(K23:K25)</f>
        <v>15308.64</v>
      </c>
      <c r="L26" s="34">
        <f t="shared" si="9"/>
        <v>0</v>
      </c>
      <c r="M26" s="34">
        <f t="shared" si="9"/>
        <v>1629.8700000000001</v>
      </c>
      <c r="N26" s="34">
        <f t="shared" si="9"/>
        <v>1764.6000000000001</v>
      </c>
      <c r="O26" s="34">
        <f t="shared" si="9"/>
        <v>0</v>
      </c>
      <c r="P26" s="34">
        <f>SUM(P23:P25)</f>
        <v>1845.75</v>
      </c>
      <c r="Q26" s="34">
        <f t="shared" si="9"/>
        <v>5617.3499999999995</v>
      </c>
      <c r="R26" s="131">
        <f t="shared" si="9"/>
        <v>9691.2900000000009</v>
      </c>
      <c r="S26" s="34">
        <f t="shared" si="9"/>
        <v>770.04</v>
      </c>
      <c r="T26" s="34">
        <f t="shared" si="9"/>
        <v>3210</v>
      </c>
      <c r="U26" s="34">
        <f t="shared" si="9"/>
        <v>3980.04</v>
      </c>
    </row>
    <row r="27" spans="2:21" hidden="1" x14ac:dyDescent="0.25"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29"/>
    </row>
    <row r="28" spans="2:21" x14ac:dyDescent="0.25">
      <c r="B28" s="2" t="s">
        <v>63</v>
      </c>
      <c r="C28" s="2" t="s">
        <v>51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29"/>
    </row>
    <row r="29" spans="2:21" x14ac:dyDescent="0.25">
      <c r="B29" t="s">
        <v>122</v>
      </c>
      <c r="C29" t="s">
        <v>97</v>
      </c>
      <c r="D29" t="s">
        <v>80</v>
      </c>
      <c r="E29" s="15">
        <v>5350</v>
      </c>
      <c r="F29" s="29">
        <v>15</v>
      </c>
      <c r="G29" s="15"/>
      <c r="H29" s="15"/>
      <c r="I29" s="71"/>
      <c r="J29" s="15"/>
      <c r="K29" s="15">
        <f t="shared" ref="K29:K39" si="10">E29-I29</f>
        <v>5350</v>
      </c>
      <c r="L29" s="15">
        <v>0</v>
      </c>
      <c r="M29" s="15">
        <v>588.20000000000005</v>
      </c>
      <c r="N29" s="15">
        <f>M29-L29</f>
        <v>588.20000000000005</v>
      </c>
      <c r="O29" s="15">
        <v>0</v>
      </c>
      <c r="P29" s="20">
        <f>E29*0.115</f>
        <v>615.25</v>
      </c>
      <c r="Q29" s="15">
        <f t="shared" ref="Q29:Q39" si="11">SUM(N29:P29)+G29</f>
        <v>1203.45</v>
      </c>
      <c r="R29" s="135">
        <f t="shared" ref="R29:R39" si="12">K29-Q29</f>
        <v>4146.55</v>
      </c>
      <c r="S29" s="11">
        <v>256.68</v>
      </c>
      <c r="T29" s="11">
        <v>1070</v>
      </c>
      <c r="U29" s="35">
        <f t="shared" ref="U29:U39" si="13">S29+T29</f>
        <v>1326.68</v>
      </c>
    </row>
    <row r="30" spans="2:21" x14ac:dyDescent="0.25">
      <c r="B30" t="s">
        <v>123</v>
      </c>
      <c r="C30" t="s">
        <v>100</v>
      </c>
      <c r="D30" t="s">
        <v>80</v>
      </c>
      <c r="E30" s="15">
        <v>5350</v>
      </c>
      <c r="F30" s="29">
        <v>15</v>
      </c>
      <c r="G30" s="73">
        <v>904</v>
      </c>
      <c r="H30" s="15"/>
      <c r="I30" s="77"/>
      <c r="J30" s="20"/>
      <c r="K30" s="20">
        <f t="shared" si="10"/>
        <v>5350</v>
      </c>
      <c r="L30" s="20">
        <v>0</v>
      </c>
      <c r="M30" s="20">
        <v>587.48</v>
      </c>
      <c r="N30" s="20">
        <v>588.20000000000005</v>
      </c>
      <c r="O30" s="15">
        <v>0</v>
      </c>
      <c r="P30" s="20">
        <f t="shared" ref="P30:P39" si="14">E30*0.115</f>
        <v>615.25</v>
      </c>
      <c r="Q30" s="15">
        <f t="shared" si="11"/>
        <v>2107.4499999999998</v>
      </c>
      <c r="R30" s="135">
        <f t="shared" si="12"/>
        <v>3242.55</v>
      </c>
      <c r="S30" s="11">
        <v>256.68</v>
      </c>
      <c r="T30" s="11">
        <v>1070</v>
      </c>
      <c r="U30" s="35">
        <f t="shared" si="13"/>
        <v>1326.68</v>
      </c>
    </row>
    <row r="31" spans="2:21" x14ac:dyDescent="0.25">
      <c r="B31" t="s">
        <v>124</v>
      </c>
      <c r="C31" t="s">
        <v>96</v>
      </c>
      <c r="D31" t="s">
        <v>78</v>
      </c>
      <c r="E31" s="15">
        <v>5350</v>
      </c>
      <c r="F31" s="29">
        <v>15</v>
      </c>
      <c r="G31" s="15"/>
      <c r="H31" s="15"/>
      <c r="I31" s="20"/>
      <c r="J31" s="20"/>
      <c r="K31" s="20">
        <f t="shared" si="10"/>
        <v>5350</v>
      </c>
      <c r="L31" s="20">
        <v>0</v>
      </c>
      <c r="M31" s="20">
        <v>588.20000000000005</v>
      </c>
      <c r="N31" s="20">
        <f t="shared" ref="N31:N39" si="15">M31-L31</f>
        <v>588.20000000000005</v>
      </c>
      <c r="O31" s="15">
        <v>0</v>
      </c>
      <c r="P31" s="20">
        <f t="shared" si="14"/>
        <v>615.25</v>
      </c>
      <c r="Q31" s="15">
        <f t="shared" si="11"/>
        <v>1203.45</v>
      </c>
      <c r="R31" s="135">
        <f t="shared" si="12"/>
        <v>4146.55</v>
      </c>
      <c r="S31" s="11">
        <v>256.68</v>
      </c>
      <c r="T31" s="11">
        <v>1070</v>
      </c>
      <c r="U31" s="35">
        <f t="shared" si="13"/>
        <v>1326.68</v>
      </c>
    </row>
    <row r="32" spans="2:21" x14ac:dyDescent="0.25">
      <c r="B32" t="s">
        <v>125</v>
      </c>
      <c r="C32" t="s">
        <v>104</v>
      </c>
      <c r="D32" t="s">
        <v>78</v>
      </c>
      <c r="E32" s="15">
        <v>5350</v>
      </c>
      <c r="F32" s="29">
        <v>15</v>
      </c>
      <c r="G32" s="15"/>
      <c r="H32" s="15"/>
      <c r="I32" s="20"/>
      <c r="J32" s="20"/>
      <c r="K32" s="20">
        <f t="shared" si="10"/>
        <v>5350</v>
      </c>
      <c r="L32" s="20">
        <v>0</v>
      </c>
      <c r="M32" s="20">
        <v>588.20000000000005</v>
      </c>
      <c r="N32" s="20">
        <f t="shared" si="15"/>
        <v>588.20000000000005</v>
      </c>
      <c r="O32" s="15">
        <v>0</v>
      </c>
      <c r="P32" s="20">
        <f t="shared" si="14"/>
        <v>615.25</v>
      </c>
      <c r="Q32" s="15">
        <f t="shared" si="11"/>
        <v>1203.45</v>
      </c>
      <c r="R32" s="135">
        <f t="shared" si="12"/>
        <v>4146.55</v>
      </c>
      <c r="S32" s="11">
        <v>256.68</v>
      </c>
      <c r="T32" s="11">
        <v>1070</v>
      </c>
      <c r="U32" s="35">
        <f t="shared" si="13"/>
        <v>1326.68</v>
      </c>
    </row>
    <row r="33" spans="2:21" x14ac:dyDescent="0.25">
      <c r="B33" t="s">
        <v>126</v>
      </c>
      <c r="C33" t="s">
        <v>94</v>
      </c>
      <c r="D33" t="s">
        <v>81</v>
      </c>
      <c r="E33" s="15">
        <v>5350</v>
      </c>
      <c r="F33" s="29">
        <v>15</v>
      </c>
      <c r="G33" s="73">
        <v>595</v>
      </c>
      <c r="H33" s="15"/>
      <c r="I33" s="20"/>
      <c r="J33" s="20"/>
      <c r="K33" s="20">
        <f>E33-I33</f>
        <v>5350</v>
      </c>
      <c r="L33" s="20">
        <v>0</v>
      </c>
      <c r="M33" s="20">
        <v>517.23</v>
      </c>
      <c r="N33" s="20">
        <v>588.02</v>
      </c>
      <c r="O33" s="15">
        <v>0</v>
      </c>
      <c r="P33" s="20">
        <f t="shared" si="14"/>
        <v>615.25</v>
      </c>
      <c r="Q33" s="15">
        <f t="shared" si="11"/>
        <v>1798.27</v>
      </c>
      <c r="R33" s="135">
        <f>K33-Q33</f>
        <v>3551.73</v>
      </c>
      <c r="S33" s="11">
        <v>256.68</v>
      </c>
      <c r="T33" s="11">
        <v>1070</v>
      </c>
      <c r="U33" s="35">
        <f t="shared" si="13"/>
        <v>1326.68</v>
      </c>
    </row>
    <row r="34" spans="2:21" x14ac:dyDescent="0.25">
      <c r="B34" t="s">
        <v>127</v>
      </c>
      <c r="C34" t="s">
        <v>98</v>
      </c>
      <c r="D34" t="s">
        <v>81</v>
      </c>
      <c r="E34" s="15">
        <v>5350</v>
      </c>
      <c r="F34" s="29">
        <v>15</v>
      </c>
      <c r="G34" s="15"/>
      <c r="H34" s="20"/>
      <c r="I34" s="20"/>
      <c r="J34" s="20"/>
      <c r="K34" s="20">
        <f>E34-I34</f>
        <v>5350</v>
      </c>
      <c r="L34" s="20">
        <v>0</v>
      </c>
      <c r="M34" s="20">
        <v>588.20000000000005</v>
      </c>
      <c r="N34" s="20">
        <f t="shared" si="15"/>
        <v>588.20000000000005</v>
      </c>
      <c r="O34" s="15">
        <v>0</v>
      </c>
      <c r="P34" s="20">
        <f>E34*0.115</f>
        <v>615.25</v>
      </c>
      <c r="Q34" s="15">
        <f>SUM(N34:P34)+G34</f>
        <v>1203.45</v>
      </c>
      <c r="R34" s="135">
        <f>K34-Q34</f>
        <v>4146.55</v>
      </c>
      <c r="S34" s="11">
        <v>256.68</v>
      </c>
      <c r="T34" s="11">
        <v>1070</v>
      </c>
      <c r="U34" s="35">
        <f t="shared" si="13"/>
        <v>1326.68</v>
      </c>
    </row>
    <row r="35" spans="2:21" x14ac:dyDescent="0.25">
      <c r="B35" t="s">
        <v>128</v>
      </c>
      <c r="C35" t="s">
        <v>101</v>
      </c>
      <c r="D35" t="s">
        <v>81</v>
      </c>
      <c r="E35" s="15">
        <v>5350</v>
      </c>
      <c r="F35" s="29">
        <v>15</v>
      </c>
      <c r="G35" s="15"/>
      <c r="H35" s="15"/>
      <c r="I35" s="20"/>
      <c r="J35" s="20"/>
      <c r="K35" s="20">
        <f>E35-I35</f>
        <v>5350</v>
      </c>
      <c r="L35" s="20">
        <v>0</v>
      </c>
      <c r="M35" s="15">
        <v>588.20000000000005</v>
      </c>
      <c r="N35" s="15">
        <f>M35-L35</f>
        <v>588.20000000000005</v>
      </c>
      <c r="O35" s="15">
        <v>0</v>
      </c>
      <c r="P35" s="20">
        <f t="shared" si="14"/>
        <v>615.25</v>
      </c>
      <c r="Q35" s="15">
        <f>SUM(N35:P35)+G35</f>
        <v>1203.45</v>
      </c>
      <c r="R35" s="135">
        <f>K35-Q35</f>
        <v>4146.55</v>
      </c>
      <c r="S35" s="11">
        <v>256.68</v>
      </c>
      <c r="T35" s="11">
        <v>1070</v>
      </c>
      <c r="U35" s="35">
        <f t="shared" si="13"/>
        <v>1326.68</v>
      </c>
    </row>
    <row r="36" spans="2:21" x14ac:dyDescent="0.25">
      <c r="B36" t="s">
        <v>129</v>
      </c>
      <c r="C36" t="s">
        <v>95</v>
      </c>
      <c r="D36" t="s">
        <v>82</v>
      </c>
      <c r="E36" s="15">
        <v>5350</v>
      </c>
      <c r="F36" s="29">
        <v>15</v>
      </c>
      <c r="G36" s="73">
        <v>1190</v>
      </c>
      <c r="H36" s="15"/>
      <c r="I36" s="20"/>
      <c r="J36" s="15"/>
      <c r="K36" s="15">
        <f t="shared" si="10"/>
        <v>5350</v>
      </c>
      <c r="L36" s="15">
        <v>0</v>
      </c>
      <c r="M36" s="15">
        <v>588.20000000000005</v>
      </c>
      <c r="N36" s="15">
        <f t="shared" si="15"/>
        <v>588.20000000000005</v>
      </c>
      <c r="O36" s="15">
        <v>0</v>
      </c>
      <c r="P36" s="20">
        <f t="shared" si="14"/>
        <v>615.25</v>
      </c>
      <c r="Q36" s="15">
        <f t="shared" si="11"/>
        <v>2393.4499999999998</v>
      </c>
      <c r="R36" s="135">
        <f t="shared" si="12"/>
        <v>2956.55</v>
      </c>
      <c r="S36" s="11">
        <v>256.68</v>
      </c>
      <c r="T36" s="11">
        <v>1070</v>
      </c>
      <c r="U36" s="35">
        <f t="shared" si="13"/>
        <v>1326.68</v>
      </c>
    </row>
    <row r="37" spans="2:21" x14ac:dyDescent="0.25">
      <c r="B37" t="s">
        <v>130</v>
      </c>
      <c r="C37" t="s">
        <v>102</v>
      </c>
      <c r="D37" t="s">
        <v>82</v>
      </c>
      <c r="E37" s="15">
        <v>5350</v>
      </c>
      <c r="F37" s="29">
        <v>15</v>
      </c>
      <c r="G37" s="73">
        <v>927.62</v>
      </c>
      <c r="H37" s="15"/>
      <c r="I37" s="20"/>
      <c r="J37" s="15"/>
      <c r="K37" s="15">
        <f t="shared" si="10"/>
        <v>5350</v>
      </c>
      <c r="L37" s="15">
        <v>0</v>
      </c>
      <c r="M37" s="15">
        <v>586.03</v>
      </c>
      <c r="N37" s="15">
        <v>588.20000000000005</v>
      </c>
      <c r="O37" s="15">
        <v>0</v>
      </c>
      <c r="P37" s="20">
        <f t="shared" si="14"/>
        <v>615.25</v>
      </c>
      <c r="Q37" s="15">
        <f>SUM(N37:P37)+G37</f>
        <v>2131.0700000000002</v>
      </c>
      <c r="R37" s="135">
        <f t="shared" si="12"/>
        <v>3218.93</v>
      </c>
      <c r="S37" s="11">
        <v>256.68</v>
      </c>
      <c r="T37" s="11">
        <v>1070</v>
      </c>
      <c r="U37" s="35">
        <f t="shared" si="13"/>
        <v>1326.68</v>
      </c>
    </row>
    <row r="38" spans="2:21" x14ac:dyDescent="0.25">
      <c r="B38" t="s">
        <v>131</v>
      </c>
      <c r="C38" t="s">
        <v>85</v>
      </c>
      <c r="D38" t="s">
        <v>83</v>
      </c>
      <c r="E38" s="15">
        <v>5350</v>
      </c>
      <c r="F38" s="29">
        <v>15</v>
      </c>
      <c r="G38" s="73">
        <v>1784</v>
      </c>
      <c r="H38" s="15"/>
      <c r="I38" s="15"/>
      <c r="J38" s="15"/>
      <c r="K38" s="15">
        <f t="shared" si="10"/>
        <v>5350</v>
      </c>
      <c r="L38" s="15">
        <v>0</v>
      </c>
      <c r="M38" s="15">
        <v>588.20000000000005</v>
      </c>
      <c r="N38" s="15">
        <f t="shared" si="15"/>
        <v>588.20000000000005</v>
      </c>
      <c r="O38" s="15">
        <v>0</v>
      </c>
      <c r="P38" s="20">
        <f t="shared" si="14"/>
        <v>615.25</v>
      </c>
      <c r="Q38" s="15">
        <f t="shared" si="11"/>
        <v>2987.45</v>
      </c>
      <c r="R38" s="135">
        <f t="shared" si="12"/>
        <v>2362.5500000000002</v>
      </c>
      <c r="S38" s="11">
        <v>256.68</v>
      </c>
      <c r="T38" s="11">
        <v>1070</v>
      </c>
      <c r="U38" s="35">
        <f t="shared" si="13"/>
        <v>1326.68</v>
      </c>
    </row>
    <row r="39" spans="2:21" x14ac:dyDescent="0.25">
      <c r="B39" t="s">
        <v>132</v>
      </c>
      <c r="C39" t="s">
        <v>103</v>
      </c>
      <c r="D39" t="s">
        <v>83</v>
      </c>
      <c r="E39" s="15">
        <v>5350</v>
      </c>
      <c r="F39" s="29">
        <v>15</v>
      </c>
      <c r="G39" s="20"/>
      <c r="H39" s="15"/>
      <c r="I39" s="71"/>
      <c r="J39" s="15"/>
      <c r="K39" s="15">
        <f t="shared" si="10"/>
        <v>5350</v>
      </c>
      <c r="L39" s="15">
        <v>0</v>
      </c>
      <c r="M39" s="15">
        <v>588.20000000000005</v>
      </c>
      <c r="N39" s="15">
        <f t="shared" si="15"/>
        <v>588.20000000000005</v>
      </c>
      <c r="O39" s="15">
        <v>0</v>
      </c>
      <c r="P39" s="20">
        <f t="shared" si="14"/>
        <v>615.25</v>
      </c>
      <c r="Q39" s="15">
        <f t="shared" si="11"/>
        <v>1203.45</v>
      </c>
      <c r="R39" s="135">
        <f t="shared" si="12"/>
        <v>4146.55</v>
      </c>
      <c r="S39" s="11">
        <v>256.68</v>
      </c>
      <c r="T39" s="11">
        <v>1070</v>
      </c>
      <c r="U39" s="35">
        <f t="shared" si="13"/>
        <v>1326.68</v>
      </c>
    </row>
    <row r="40" spans="2:21" x14ac:dyDescent="0.25">
      <c r="B40" s="2" t="s">
        <v>26</v>
      </c>
      <c r="C40" s="30"/>
      <c r="D40" s="30"/>
      <c r="E40" s="34">
        <f>SUM(E29:E39)</f>
        <v>58850</v>
      </c>
      <c r="F40" s="34"/>
      <c r="G40" s="34">
        <f>+G39+G38+G37+G36+G35+G34+G33+G30</f>
        <v>5400.62</v>
      </c>
      <c r="H40" s="34"/>
      <c r="I40" s="34">
        <f>SUM(I29:I39)</f>
        <v>0</v>
      </c>
      <c r="J40" s="34">
        <f>SUM(J29:J39)</f>
        <v>0</v>
      </c>
      <c r="K40" s="34">
        <f>SUM(K29:K39)</f>
        <v>58850</v>
      </c>
      <c r="L40" s="34">
        <f t="shared" ref="L40:U40" si="16">SUM(L29:L39)</f>
        <v>0</v>
      </c>
      <c r="M40" s="34">
        <f t="shared" si="16"/>
        <v>6396.3399999999992</v>
      </c>
      <c r="N40" s="34">
        <f t="shared" si="16"/>
        <v>6470.0199999999995</v>
      </c>
      <c r="O40" s="34">
        <f t="shared" si="16"/>
        <v>0</v>
      </c>
      <c r="P40" s="34">
        <f>SUM(P29:P39)</f>
        <v>6767.75</v>
      </c>
      <c r="Q40" s="34">
        <f t="shared" si="16"/>
        <v>18638.390000000003</v>
      </c>
      <c r="R40" s="131">
        <f t="shared" si="16"/>
        <v>40211.61</v>
      </c>
      <c r="S40" s="34">
        <f t="shared" si="16"/>
        <v>2823.4799999999996</v>
      </c>
      <c r="T40" s="34">
        <f t="shared" si="16"/>
        <v>11770</v>
      </c>
      <c r="U40" s="34">
        <f t="shared" si="16"/>
        <v>14593.480000000001</v>
      </c>
    </row>
    <row r="41" spans="2:21" hidden="1" x14ac:dyDescent="0.25"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29"/>
    </row>
    <row r="42" spans="2:21" x14ac:dyDescent="0.25">
      <c r="B42" s="2" t="s">
        <v>140</v>
      </c>
      <c r="C42" s="2" t="s">
        <v>64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29"/>
    </row>
    <row r="43" spans="2:21" x14ac:dyDescent="0.25">
      <c r="B43" t="s">
        <v>133</v>
      </c>
      <c r="C43" t="s">
        <v>99</v>
      </c>
      <c r="D43" t="s">
        <v>80</v>
      </c>
      <c r="E43" s="15">
        <v>5350</v>
      </c>
      <c r="F43" s="29">
        <v>15</v>
      </c>
      <c r="G43" s="15"/>
      <c r="H43" s="15"/>
      <c r="I43" s="77"/>
      <c r="J43" s="20"/>
      <c r="K43" s="20">
        <f>E43-I43</f>
        <v>5350</v>
      </c>
      <c r="L43" s="20">
        <v>0</v>
      </c>
      <c r="M43" s="20">
        <v>586.21</v>
      </c>
      <c r="N43" s="20">
        <v>588.20000000000005</v>
      </c>
      <c r="O43" s="15">
        <v>0</v>
      </c>
      <c r="P43" s="15">
        <f t="shared" ref="P43" si="17">E43*0.115</f>
        <v>615.25</v>
      </c>
      <c r="Q43" s="15">
        <f>SUM(N43:P43)+G43</f>
        <v>1203.45</v>
      </c>
      <c r="R43" s="135">
        <f>K43-Q43</f>
        <v>4146.55</v>
      </c>
      <c r="S43" s="11">
        <v>256.68</v>
      </c>
      <c r="T43" s="11">
        <v>1070</v>
      </c>
      <c r="U43" s="35">
        <f t="shared" ref="U43:U44" si="18">S43+T43</f>
        <v>1326.68</v>
      </c>
    </row>
    <row r="44" spans="2:21" x14ac:dyDescent="0.25">
      <c r="B44" t="s">
        <v>152</v>
      </c>
      <c r="C44" t="s">
        <v>92</v>
      </c>
      <c r="D44" t="s">
        <v>80</v>
      </c>
      <c r="E44" s="15">
        <v>5350</v>
      </c>
      <c r="F44" s="29">
        <v>15</v>
      </c>
      <c r="G44" s="15"/>
      <c r="H44" s="15"/>
      <c r="I44" s="15"/>
      <c r="J44" s="15"/>
      <c r="K44" s="15">
        <f>E44-I44</f>
        <v>5350</v>
      </c>
      <c r="L44" s="15">
        <v>0</v>
      </c>
      <c r="M44" s="15">
        <v>588.20000000000005</v>
      </c>
      <c r="N44" s="15">
        <v>588.20000000000005</v>
      </c>
      <c r="O44" s="15">
        <v>0</v>
      </c>
      <c r="P44" s="15">
        <f>K44*0.115</f>
        <v>615.25</v>
      </c>
      <c r="Q44" s="15">
        <f>SUM(N44:P44)+G44</f>
        <v>1203.45</v>
      </c>
      <c r="R44" s="135">
        <f>K44-Q44</f>
        <v>4146.55</v>
      </c>
      <c r="S44" s="11">
        <v>256.68</v>
      </c>
      <c r="T44" s="11">
        <v>1070</v>
      </c>
      <c r="U44" s="35">
        <f t="shared" si="18"/>
        <v>1326.68</v>
      </c>
    </row>
    <row r="45" spans="2:21" x14ac:dyDescent="0.25">
      <c r="B45" s="2" t="s">
        <v>26</v>
      </c>
      <c r="C45" s="30"/>
      <c r="D45" s="30"/>
      <c r="E45" s="34">
        <f>E43+E44</f>
        <v>10700</v>
      </c>
      <c r="F45" s="34"/>
      <c r="G45" s="34">
        <f>+G44+G43</f>
        <v>0</v>
      </c>
      <c r="H45" s="34"/>
      <c r="I45" s="34">
        <f>I43+I44</f>
        <v>0</v>
      </c>
      <c r="J45" s="34">
        <f>J43+J44</f>
        <v>0</v>
      </c>
      <c r="K45" s="34">
        <f t="shared" ref="K45:U45" si="19">K43+K44</f>
        <v>10700</v>
      </c>
      <c r="L45" s="34">
        <f t="shared" si="19"/>
        <v>0</v>
      </c>
      <c r="M45" s="34">
        <f t="shared" si="19"/>
        <v>1174.4100000000001</v>
      </c>
      <c r="N45" s="34">
        <f t="shared" si="19"/>
        <v>1176.4000000000001</v>
      </c>
      <c r="O45" s="34">
        <f t="shared" si="19"/>
        <v>0</v>
      </c>
      <c r="P45" s="34">
        <f>P43+P44</f>
        <v>1230.5</v>
      </c>
      <c r="Q45" s="34">
        <f t="shared" si="19"/>
        <v>2406.9</v>
      </c>
      <c r="R45" s="131">
        <f t="shared" si="19"/>
        <v>8293.1</v>
      </c>
      <c r="S45" s="34">
        <f t="shared" si="19"/>
        <v>513.36</v>
      </c>
      <c r="T45" s="34">
        <f t="shared" si="19"/>
        <v>2140</v>
      </c>
      <c r="U45" s="34">
        <f t="shared" si="19"/>
        <v>2653.36</v>
      </c>
    </row>
    <row r="46" spans="2:21" hidden="1" x14ac:dyDescent="0.25">
      <c r="B46" s="2"/>
      <c r="E46" s="15"/>
      <c r="F46" s="15"/>
      <c r="G46" s="15"/>
      <c r="H46" s="15"/>
      <c r="I46" s="15"/>
      <c r="J46" s="15"/>
      <c r="K46" s="16"/>
      <c r="L46" s="16"/>
      <c r="M46" s="16"/>
      <c r="N46" s="16"/>
      <c r="O46" s="16"/>
      <c r="P46" s="16"/>
      <c r="Q46" s="16"/>
      <c r="R46" s="132"/>
      <c r="S46" s="8"/>
      <c r="T46" s="8"/>
      <c r="U46" s="8"/>
    </row>
    <row r="47" spans="2:21" x14ac:dyDescent="0.25">
      <c r="B47" s="2" t="s">
        <v>161</v>
      </c>
      <c r="C47" s="2" t="s">
        <v>162</v>
      </c>
      <c r="E47" s="15"/>
      <c r="F47" s="15"/>
      <c r="G47" s="15"/>
      <c r="H47" s="15"/>
      <c r="I47" s="15"/>
      <c r="J47" s="15"/>
      <c r="K47" s="16"/>
      <c r="L47" s="16"/>
      <c r="M47" s="16"/>
      <c r="N47" s="16"/>
      <c r="O47" s="16"/>
      <c r="P47" s="16"/>
      <c r="Q47" s="16"/>
      <c r="R47" s="132"/>
      <c r="S47" s="8"/>
      <c r="T47" s="8"/>
      <c r="U47" s="8"/>
    </row>
    <row r="48" spans="2:21" x14ac:dyDescent="0.25">
      <c r="B48" t="s">
        <v>163</v>
      </c>
      <c r="C48" s="11" t="s">
        <v>42</v>
      </c>
      <c r="D48" t="s">
        <v>2</v>
      </c>
      <c r="E48" s="15">
        <v>10000</v>
      </c>
      <c r="F48" s="29">
        <v>15</v>
      </c>
      <c r="G48" s="15"/>
      <c r="H48" s="15"/>
      <c r="I48" s="15"/>
      <c r="J48" s="15"/>
      <c r="K48" s="15">
        <f>E48-I48</f>
        <v>10000</v>
      </c>
      <c r="L48" s="15">
        <v>0</v>
      </c>
      <c r="M48" s="15">
        <v>1581.44</v>
      </c>
      <c r="N48" s="15">
        <f>M48-L48</f>
        <v>1581.44</v>
      </c>
      <c r="O48" s="15">
        <v>0</v>
      </c>
      <c r="P48" s="15">
        <f>E48*0.115</f>
        <v>1150</v>
      </c>
      <c r="Q48" s="15">
        <f>SUM(N48:P48)+G48</f>
        <v>2731.44</v>
      </c>
      <c r="R48" s="260">
        <f>K48-Q48</f>
        <v>7268.5599999999995</v>
      </c>
      <c r="S48" s="11">
        <v>285.52999999999997</v>
      </c>
      <c r="T48" s="11">
        <v>2000</v>
      </c>
      <c r="U48" s="35">
        <f>S48+T48</f>
        <v>2285.5299999999997</v>
      </c>
    </row>
    <row r="49" spans="2:21" x14ac:dyDescent="0.25">
      <c r="B49" s="2" t="s">
        <v>26</v>
      </c>
      <c r="E49" s="34">
        <f>E48</f>
        <v>10000</v>
      </c>
      <c r="F49" s="34"/>
      <c r="G49" s="34">
        <f>+G48</f>
        <v>0</v>
      </c>
      <c r="H49" s="34"/>
      <c r="I49" s="34">
        <f>I48</f>
        <v>0</v>
      </c>
      <c r="J49" s="34">
        <f>J48</f>
        <v>0</v>
      </c>
      <c r="K49" s="34">
        <f t="shared" ref="K49:U49" si="20">K48</f>
        <v>10000</v>
      </c>
      <c r="L49" s="34">
        <f t="shared" si="20"/>
        <v>0</v>
      </c>
      <c r="M49" s="34">
        <f t="shared" si="20"/>
        <v>1581.44</v>
      </c>
      <c r="N49" s="34">
        <f t="shared" si="20"/>
        <v>1581.44</v>
      </c>
      <c r="O49" s="34">
        <f t="shared" si="20"/>
        <v>0</v>
      </c>
      <c r="P49" s="34">
        <f>P48</f>
        <v>1150</v>
      </c>
      <c r="Q49" s="34">
        <f t="shared" si="20"/>
        <v>2731.44</v>
      </c>
      <c r="R49" s="131">
        <f t="shared" si="20"/>
        <v>7268.5599999999995</v>
      </c>
      <c r="S49" s="34">
        <f t="shared" si="20"/>
        <v>285.52999999999997</v>
      </c>
      <c r="T49" s="34">
        <f t="shared" si="20"/>
        <v>2000</v>
      </c>
      <c r="U49" s="34">
        <f t="shared" si="20"/>
        <v>2285.5299999999997</v>
      </c>
    </row>
    <row r="50" spans="2:21" ht="12" customHeight="1" x14ac:dyDescent="0.25">
      <c r="B50" s="2"/>
      <c r="E50" s="15"/>
      <c r="F50" s="15"/>
      <c r="G50" s="15"/>
      <c r="H50" s="15"/>
      <c r="I50" s="15"/>
      <c r="J50" s="15"/>
      <c r="K50" s="16"/>
      <c r="L50" s="16"/>
      <c r="M50" s="16"/>
      <c r="N50" s="16"/>
      <c r="O50" s="16"/>
      <c r="P50" s="16"/>
      <c r="Q50" s="16"/>
      <c r="R50" s="132"/>
      <c r="S50" s="8"/>
      <c r="T50" s="8"/>
      <c r="U50" s="8"/>
    </row>
    <row r="51" spans="2:21" hidden="1" x14ac:dyDescent="0.25"/>
    <row r="52" spans="2:21" ht="18.75" x14ac:dyDescent="0.3">
      <c r="C52" s="53" t="s">
        <v>105</v>
      </c>
      <c r="E52" s="17">
        <f>E9+E20+E26+E40+E45+E49</f>
        <v>158954.95000000001</v>
      </c>
      <c r="F52" s="17"/>
      <c r="G52" s="17">
        <f>G9+G20+G26+G40+G45+G49</f>
        <v>16585.62</v>
      </c>
      <c r="H52" s="17"/>
      <c r="I52" s="17">
        <f>I9+I20+I26+I40+I45+I49</f>
        <v>741.36</v>
      </c>
      <c r="J52" s="17">
        <f t="shared" ref="J52:U52" si="21">J9+J20+J26+J40+J45+J49</f>
        <v>0</v>
      </c>
      <c r="K52" s="17">
        <f>K9+K20+K26+K40+K45+K49</f>
        <v>158213.59</v>
      </c>
      <c r="L52" s="17">
        <f t="shared" si="21"/>
        <v>274.08999999999997</v>
      </c>
      <c r="M52" s="17">
        <f t="shared" si="21"/>
        <v>19286.219999999998</v>
      </c>
      <c r="N52" s="17">
        <f t="shared" si="21"/>
        <v>19225.43</v>
      </c>
      <c r="O52" s="17">
        <f t="shared" si="21"/>
        <v>0</v>
      </c>
      <c r="P52" s="17">
        <f>P9+P20+P26+P40+P45+P49</f>
        <v>18279.81925</v>
      </c>
      <c r="Q52" s="17">
        <f t="shared" si="21"/>
        <v>54090.869250000011</v>
      </c>
      <c r="R52" s="134">
        <f>R9+R20+R26+R40+R45+R49</f>
        <v>104122.72075000001</v>
      </c>
      <c r="S52" s="17">
        <f>S9+S20+S26+S40+S45+S49</f>
        <v>7020.3799999999992</v>
      </c>
      <c r="T52" s="17">
        <f>T9+T20+T26+T40+T45+T49</f>
        <v>31790.989999999998</v>
      </c>
      <c r="U52" s="55">
        <f t="shared" si="21"/>
        <v>38811.370000000003</v>
      </c>
    </row>
    <row r="55" spans="2:21" ht="16.5" thickBot="1" x14ac:dyDescent="0.3">
      <c r="E55" s="375"/>
      <c r="F55" s="375"/>
      <c r="G55" s="251"/>
      <c r="H55" s="251"/>
      <c r="P55" s="376"/>
      <c r="Q55" s="376"/>
    </row>
    <row r="56" spans="2:21" ht="15" x14ac:dyDescent="0.25">
      <c r="E56" s="377" t="s">
        <v>177</v>
      </c>
      <c r="F56" s="377"/>
      <c r="G56" s="252"/>
      <c r="H56" s="252"/>
      <c r="P56" s="26"/>
      <c r="Q56" s="26"/>
      <c r="R56" s="378" t="s">
        <v>157</v>
      </c>
      <c r="S56" s="378"/>
    </row>
    <row r="60" spans="2:21" x14ac:dyDescent="0.25">
      <c r="C60" t="s">
        <v>174</v>
      </c>
    </row>
  </sheetData>
  <mergeCells count="5">
    <mergeCell ref="B4:U4"/>
    <mergeCell ref="E55:F55"/>
    <mergeCell ref="P55:Q55"/>
    <mergeCell ref="E56:F56"/>
    <mergeCell ref="R56:S56"/>
  </mergeCells>
  <pageMargins left="0.51181102362204722" right="0.51181102362204722" top="0.15748031496062992" bottom="0.35433070866141736" header="0.31496062992125984" footer="0.31496062992125984"/>
  <pageSetup scale="38" fitToHeight="0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W60"/>
  <sheetViews>
    <sheetView tabSelected="1" topLeftCell="A20" zoomScale="70" zoomScaleNormal="70" workbookViewId="0">
      <selection activeCell="A8" sqref="A8"/>
    </sheetView>
  </sheetViews>
  <sheetFormatPr baseColWidth="10" defaultRowHeight="15.75" x14ac:dyDescent="0.25"/>
  <cols>
    <col min="1" max="1" width="0.7109375" customWidth="1"/>
    <col min="2" max="2" width="17.140625" customWidth="1"/>
    <col min="3" max="3" width="36.5703125" bestFit="1" customWidth="1"/>
    <col min="4" max="4" width="28" customWidth="1"/>
    <col min="5" max="5" width="18.42578125" customWidth="1"/>
    <col min="6" max="6" width="12.7109375" customWidth="1"/>
    <col min="7" max="7" width="14.42578125" bestFit="1" customWidth="1"/>
    <col min="8" max="8" width="14.140625" customWidth="1"/>
    <col min="9" max="9" width="13.85546875" customWidth="1"/>
    <col min="10" max="10" width="11.42578125" customWidth="1"/>
    <col min="11" max="11" width="17.28515625" bestFit="1" customWidth="1"/>
    <col min="12" max="12" width="13.5703125" bestFit="1" customWidth="1"/>
    <col min="13" max="14" width="15.85546875" bestFit="1" customWidth="1"/>
    <col min="15" max="15" width="11.42578125" hidden="1" customWidth="1"/>
    <col min="16" max="16" width="15.85546875" bestFit="1" customWidth="1"/>
    <col min="17" max="17" width="16.5703125" customWidth="1"/>
    <col min="18" max="18" width="18.28515625" style="133" customWidth="1"/>
    <col min="19" max="20" width="16.140625" customWidth="1"/>
    <col min="21" max="21" width="14.85546875" customWidth="1"/>
    <col min="22" max="22" width="17" customWidth="1"/>
  </cols>
  <sheetData>
    <row r="3" spans="2:23" x14ac:dyDescent="0.25"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29"/>
    </row>
    <row r="4" spans="2:23" ht="16.5" customHeight="1" x14ac:dyDescent="0.25">
      <c r="B4" s="380" t="s">
        <v>217</v>
      </c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</row>
    <row r="5" spans="2:23" s="56" customFormat="1" ht="56.25" x14ac:dyDescent="0.25">
      <c r="B5" s="120" t="s">
        <v>9</v>
      </c>
      <c r="C5" s="119" t="s">
        <v>10</v>
      </c>
      <c r="D5" s="103" t="s">
        <v>0</v>
      </c>
      <c r="E5" s="61" t="s">
        <v>11</v>
      </c>
      <c r="F5" s="100" t="s">
        <v>150</v>
      </c>
      <c r="G5" s="117" t="s">
        <v>180</v>
      </c>
      <c r="H5" s="118" t="s">
        <v>182</v>
      </c>
      <c r="I5" s="97" t="s">
        <v>169</v>
      </c>
      <c r="J5" s="103" t="s">
        <v>170</v>
      </c>
      <c r="K5" s="103" t="s">
        <v>12</v>
      </c>
      <c r="L5" s="99" t="s">
        <v>107</v>
      </c>
      <c r="M5" s="100" t="s">
        <v>143</v>
      </c>
      <c r="N5" s="100" t="s">
        <v>13</v>
      </c>
      <c r="O5" s="101" t="s">
        <v>171</v>
      </c>
      <c r="P5" s="116" t="s">
        <v>16</v>
      </c>
      <c r="Q5" s="115" t="s">
        <v>17</v>
      </c>
      <c r="R5" s="130" t="s">
        <v>72</v>
      </c>
      <c r="S5" s="99" t="s">
        <v>8</v>
      </c>
      <c r="T5" s="99" t="s">
        <v>218</v>
      </c>
      <c r="U5" s="123" t="s">
        <v>18</v>
      </c>
      <c r="V5" s="123" t="s">
        <v>73</v>
      </c>
      <c r="W5" s="102"/>
    </row>
    <row r="6" spans="2:23" x14ac:dyDescent="0.25">
      <c r="B6" s="107" t="s">
        <v>19</v>
      </c>
      <c r="C6" s="121" t="s">
        <v>20</v>
      </c>
      <c r="D6" s="121"/>
      <c r="E6" s="95"/>
      <c r="F6" s="15"/>
      <c r="G6" s="114"/>
      <c r="H6" s="15"/>
      <c r="I6" s="95"/>
      <c r="J6" s="95"/>
      <c r="K6" s="95"/>
      <c r="L6" s="15"/>
      <c r="M6" s="15"/>
      <c r="N6" s="15"/>
      <c r="O6" s="95"/>
      <c r="P6" s="15"/>
      <c r="Q6" s="95"/>
      <c r="R6" s="129"/>
    </row>
    <row r="7" spans="2:23" ht="18.75" x14ac:dyDescent="0.3">
      <c r="B7" t="s">
        <v>21</v>
      </c>
      <c r="C7" s="269" t="s">
        <v>22</v>
      </c>
      <c r="D7" t="s">
        <v>25</v>
      </c>
      <c r="E7" s="15">
        <v>16954.95</v>
      </c>
      <c r="F7" s="29">
        <v>15</v>
      </c>
      <c r="G7" s="277">
        <v>2700</v>
      </c>
      <c r="H7" s="15"/>
      <c r="I7" s="15"/>
      <c r="J7" s="15"/>
      <c r="K7" s="15">
        <f>E7-I7</f>
        <v>16954.95</v>
      </c>
      <c r="L7" s="15">
        <v>0</v>
      </c>
      <c r="M7" s="15">
        <v>3246.93</v>
      </c>
      <c r="N7" s="15">
        <f>M7-L7</f>
        <v>3246.93</v>
      </c>
      <c r="O7" s="15">
        <v>0</v>
      </c>
      <c r="P7" s="20">
        <f>E7*0.115</f>
        <v>1949.8192500000002</v>
      </c>
      <c r="Q7" s="15">
        <f>SUM(N7:P7)+G7</f>
        <v>7896.7492499999998</v>
      </c>
      <c r="R7" s="271">
        <f>K7-Q7</f>
        <v>9058.20075</v>
      </c>
      <c r="S7" s="11">
        <v>328.67</v>
      </c>
      <c r="T7" s="263">
        <f>+E7*17.5%+508.65</f>
        <v>3475.7662500000001</v>
      </c>
      <c r="U7" s="263">
        <f>+E7*2%</f>
        <v>339.09900000000005</v>
      </c>
      <c r="V7" s="35">
        <f>SUM(S7:U7)</f>
        <v>4143.5352499999999</v>
      </c>
    </row>
    <row r="8" spans="2:23" ht="18.75" x14ac:dyDescent="0.3">
      <c r="B8" t="s">
        <v>23</v>
      </c>
      <c r="C8" s="269" t="s">
        <v>24</v>
      </c>
      <c r="D8" t="s">
        <v>3</v>
      </c>
      <c r="E8" s="15">
        <v>4850</v>
      </c>
      <c r="F8" s="29">
        <v>15</v>
      </c>
      <c r="G8" s="277">
        <v>809</v>
      </c>
      <c r="H8" s="15"/>
      <c r="I8" s="15"/>
      <c r="J8" s="15"/>
      <c r="K8" s="15">
        <f>E8-I8</f>
        <v>4850</v>
      </c>
      <c r="L8" s="15">
        <v>0</v>
      </c>
      <c r="M8" s="15">
        <v>491.69</v>
      </c>
      <c r="N8" s="15">
        <f>M8-L8</f>
        <v>491.69</v>
      </c>
      <c r="O8" s="15">
        <v>0</v>
      </c>
      <c r="P8" s="20">
        <f>E8*0.115</f>
        <v>557.75</v>
      </c>
      <c r="Q8" s="15">
        <f>SUM(N8:P8)+G8</f>
        <v>1858.44</v>
      </c>
      <c r="R8" s="271">
        <f>K8-Q8</f>
        <v>2991.56</v>
      </c>
      <c r="S8" s="11">
        <v>253.58</v>
      </c>
      <c r="T8" s="263">
        <f>+E8*17.5%+145.5</f>
        <v>994.25</v>
      </c>
      <c r="U8" s="263">
        <f>+E8*2%</f>
        <v>97</v>
      </c>
      <c r="V8" s="35">
        <f>SUM(S8:U8)</f>
        <v>1344.83</v>
      </c>
    </row>
    <row r="9" spans="2:23" ht="18.75" x14ac:dyDescent="0.3">
      <c r="B9" s="7" t="s">
        <v>26</v>
      </c>
      <c r="C9" s="270"/>
      <c r="D9" s="30"/>
      <c r="E9" s="34">
        <f>SUM(E7:E8)</f>
        <v>21804.95</v>
      </c>
      <c r="F9" s="34"/>
      <c r="G9" s="264">
        <f>+G8+G7</f>
        <v>3509</v>
      </c>
      <c r="H9" s="34"/>
      <c r="I9" s="34">
        <f t="shared" ref="I9:V9" si="0">SUM(I7:I8)</f>
        <v>0</v>
      </c>
      <c r="J9" s="34">
        <f t="shared" si="0"/>
        <v>0</v>
      </c>
      <c r="K9" s="34">
        <f t="shared" si="0"/>
        <v>21804.95</v>
      </c>
      <c r="L9" s="34">
        <f t="shared" si="0"/>
        <v>0</v>
      </c>
      <c r="M9" s="34">
        <f t="shared" si="0"/>
        <v>3738.62</v>
      </c>
      <c r="N9" s="34">
        <f t="shared" si="0"/>
        <v>3738.62</v>
      </c>
      <c r="O9" s="34">
        <f t="shared" si="0"/>
        <v>0</v>
      </c>
      <c r="P9" s="34">
        <f>SUM(P7:P8)</f>
        <v>2507.5692500000005</v>
      </c>
      <c r="Q9" s="34">
        <f t="shared" si="0"/>
        <v>9755.1892499999994</v>
      </c>
      <c r="R9" s="264">
        <f t="shared" si="0"/>
        <v>12049.760749999999</v>
      </c>
      <c r="S9" s="34">
        <f t="shared" si="0"/>
        <v>582.25</v>
      </c>
      <c r="T9" s="34">
        <f t="shared" si="0"/>
        <v>4470.0162500000006</v>
      </c>
      <c r="U9" s="34">
        <f t="shared" si="0"/>
        <v>436.09900000000005</v>
      </c>
      <c r="V9" s="34">
        <f t="shared" si="0"/>
        <v>5488.3652499999998</v>
      </c>
    </row>
    <row r="10" spans="2:23" ht="10.5" hidden="1" customHeight="1" x14ac:dyDescent="0.3">
      <c r="C10" s="133"/>
      <c r="E10" s="15"/>
      <c r="F10" s="15"/>
      <c r="G10" s="26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265"/>
    </row>
    <row r="11" spans="2:23" ht="18.75" x14ac:dyDescent="0.3">
      <c r="B11" s="2" t="s">
        <v>27</v>
      </c>
      <c r="C11" s="270" t="s">
        <v>28</v>
      </c>
      <c r="E11" s="15"/>
      <c r="F11" s="15"/>
      <c r="G11" s="26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265"/>
    </row>
    <row r="12" spans="2:23" ht="18.75" x14ac:dyDescent="0.3">
      <c r="B12" t="s">
        <v>32</v>
      </c>
      <c r="C12" s="269" t="s">
        <v>37</v>
      </c>
      <c r="D12" t="s">
        <v>1</v>
      </c>
      <c r="E12" s="15">
        <v>10000</v>
      </c>
      <c r="F12" s="29">
        <v>15</v>
      </c>
      <c r="G12" s="277">
        <v>3334</v>
      </c>
      <c r="H12" s="15"/>
      <c r="I12" s="15"/>
      <c r="J12" s="15"/>
      <c r="K12" s="15">
        <f t="shared" ref="K12:K18" si="1">E12-I12</f>
        <v>10000</v>
      </c>
      <c r="L12" s="15">
        <v>0</v>
      </c>
      <c r="M12" s="15">
        <v>1581.44</v>
      </c>
      <c r="N12" s="15">
        <f>M12-L12</f>
        <v>1581.44</v>
      </c>
      <c r="O12" s="15">
        <v>0</v>
      </c>
      <c r="P12" s="15">
        <f t="shared" ref="P12:P19" si="2">E12*0.115</f>
        <v>1150</v>
      </c>
      <c r="Q12" s="15">
        <f>SUM(N12:P12)+G12</f>
        <v>6065.4400000000005</v>
      </c>
      <c r="R12" s="271">
        <f t="shared" ref="R12:R19" si="3">K12-Q12</f>
        <v>3934.5599999999995</v>
      </c>
      <c r="S12" s="11">
        <v>285.52999999999997</v>
      </c>
      <c r="T12" s="263">
        <f>+E12*17.5%+300</f>
        <v>2050</v>
      </c>
      <c r="U12" s="263">
        <f>+E12*2%</f>
        <v>200</v>
      </c>
      <c r="V12" s="35">
        <f t="shared" ref="V12:V19" si="4">SUM(S12:U12)</f>
        <v>2535.5299999999997</v>
      </c>
    </row>
    <row r="13" spans="2:23" ht="18.75" x14ac:dyDescent="0.3">
      <c r="B13" t="s">
        <v>33</v>
      </c>
      <c r="C13" s="269" t="s">
        <v>38</v>
      </c>
      <c r="D13" t="s">
        <v>74</v>
      </c>
      <c r="E13" s="15">
        <v>5350</v>
      </c>
      <c r="F13" s="29">
        <v>15</v>
      </c>
      <c r="G13" s="265"/>
      <c r="H13" s="15"/>
      <c r="I13" s="77"/>
      <c r="J13" s="19"/>
      <c r="K13" s="15">
        <f>E13-I13</f>
        <v>5350</v>
      </c>
      <c r="L13" s="15">
        <v>0</v>
      </c>
      <c r="M13" s="15">
        <v>586.75</v>
      </c>
      <c r="N13" s="15">
        <v>588.20000000000005</v>
      </c>
      <c r="O13" s="15">
        <v>0</v>
      </c>
      <c r="P13" s="15">
        <f t="shared" si="2"/>
        <v>615.25</v>
      </c>
      <c r="Q13" s="15">
        <f t="shared" ref="Q13:Q19" si="5">SUM(N13:P13)+G13</f>
        <v>1203.45</v>
      </c>
      <c r="R13" s="271">
        <f t="shared" si="3"/>
        <v>4146.55</v>
      </c>
      <c r="S13" s="11">
        <v>256.68</v>
      </c>
      <c r="T13" s="263">
        <f>+E13*17.5%+160.5</f>
        <v>1096.75</v>
      </c>
      <c r="U13" s="263">
        <f>+E13*2%</f>
        <v>107</v>
      </c>
      <c r="V13" s="35">
        <f t="shared" si="4"/>
        <v>1460.43</v>
      </c>
    </row>
    <row r="14" spans="2:23" ht="18.75" x14ac:dyDescent="0.3">
      <c r="B14" t="s">
        <v>34</v>
      </c>
      <c r="C14" s="269" t="s">
        <v>178</v>
      </c>
      <c r="D14" t="s">
        <v>179</v>
      </c>
      <c r="E14" s="15">
        <v>5350</v>
      </c>
      <c r="F14" s="29">
        <v>15</v>
      </c>
      <c r="G14" s="265"/>
      <c r="H14" s="20"/>
      <c r="I14" s="19"/>
      <c r="J14" s="19"/>
      <c r="K14" s="15">
        <f>+E14+H14</f>
        <v>5350</v>
      </c>
      <c r="L14" s="15">
        <v>0</v>
      </c>
      <c r="M14" s="15">
        <v>588.20000000000005</v>
      </c>
      <c r="N14" s="15">
        <v>588.20000000000005</v>
      </c>
      <c r="O14" s="15">
        <v>0</v>
      </c>
      <c r="P14" s="113">
        <v>615.25</v>
      </c>
      <c r="Q14" s="15">
        <f>SUM(N14:P14)+G14</f>
        <v>1203.45</v>
      </c>
      <c r="R14" s="271">
        <f>K14-Q14</f>
        <v>4146.55</v>
      </c>
      <c r="S14" s="11">
        <v>256.68</v>
      </c>
      <c r="T14" s="263">
        <f>+E14*17.5%+160.5</f>
        <v>1096.75</v>
      </c>
      <c r="U14" s="263">
        <f t="shared" ref="U14:U19" si="6">+E14*2%</f>
        <v>107</v>
      </c>
      <c r="V14" s="35">
        <f t="shared" si="4"/>
        <v>1460.43</v>
      </c>
    </row>
    <row r="15" spans="2:23" ht="18.75" x14ac:dyDescent="0.3">
      <c r="B15" t="s">
        <v>35</v>
      </c>
      <c r="C15" s="133" t="s">
        <v>111</v>
      </c>
      <c r="D15" t="s">
        <v>77</v>
      </c>
      <c r="E15" s="15">
        <v>6000</v>
      </c>
      <c r="F15" s="29">
        <v>15</v>
      </c>
      <c r="G15" s="265"/>
      <c r="H15" s="15"/>
      <c r="I15" s="15"/>
      <c r="J15" s="15"/>
      <c r="K15" s="15">
        <f t="shared" si="1"/>
        <v>6000</v>
      </c>
      <c r="L15" s="15">
        <v>0</v>
      </c>
      <c r="M15" s="15">
        <v>727.04</v>
      </c>
      <c r="N15" s="15">
        <f t="shared" ref="N15:N19" si="7">M15-L15</f>
        <v>727.04</v>
      </c>
      <c r="O15" s="15">
        <v>0</v>
      </c>
      <c r="P15" s="15">
        <f>E15*0.115</f>
        <v>690</v>
      </c>
      <c r="Q15" s="15">
        <f t="shared" si="5"/>
        <v>1417.04</v>
      </c>
      <c r="R15" s="271">
        <f t="shared" si="3"/>
        <v>4582.96</v>
      </c>
      <c r="S15" s="11">
        <v>260.72000000000003</v>
      </c>
      <c r="T15" s="263">
        <f>+E15*17.5%+180</f>
        <v>1230</v>
      </c>
      <c r="U15" s="263">
        <f t="shared" si="6"/>
        <v>120</v>
      </c>
      <c r="V15" s="35">
        <f t="shared" si="4"/>
        <v>1610.72</v>
      </c>
    </row>
    <row r="16" spans="2:23" ht="18.75" x14ac:dyDescent="0.3">
      <c r="B16" t="s">
        <v>36</v>
      </c>
      <c r="C16" s="133" t="s">
        <v>86</v>
      </c>
      <c r="D16" t="s">
        <v>39</v>
      </c>
      <c r="E16" s="15">
        <v>4500</v>
      </c>
      <c r="F16" s="29">
        <v>15</v>
      </c>
      <c r="G16" s="277">
        <v>750</v>
      </c>
      <c r="H16" s="15"/>
      <c r="I16" s="15"/>
      <c r="J16" s="15"/>
      <c r="K16" s="15">
        <f t="shared" si="1"/>
        <v>4500</v>
      </c>
      <c r="L16" s="15">
        <v>0</v>
      </c>
      <c r="M16" s="15">
        <v>428.97</v>
      </c>
      <c r="N16" s="15">
        <f t="shared" si="7"/>
        <v>428.97</v>
      </c>
      <c r="O16" s="15">
        <v>0</v>
      </c>
      <c r="P16" s="15">
        <f t="shared" si="2"/>
        <v>517.5</v>
      </c>
      <c r="Q16" s="15">
        <f t="shared" si="5"/>
        <v>1696.47</v>
      </c>
      <c r="R16" s="271">
        <f t="shared" si="3"/>
        <v>2803.5299999999997</v>
      </c>
      <c r="S16" s="11">
        <v>251.41</v>
      </c>
      <c r="T16" s="263">
        <f>+E16*17.5%+135</f>
        <v>922.5</v>
      </c>
      <c r="U16" s="263">
        <f t="shared" si="6"/>
        <v>90</v>
      </c>
      <c r="V16" s="35">
        <f t="shared" si="4"/>
        <v>1263.9100000000001</v>
      </c>
    </row>
    <row r="17" spans="2:22" ht="18.75" x14ac:dyDescent="0.3">
      <c r="B17" t="s">
        <v>115</v>
      </c>
      <c r="C17" s="133" t="s">
        <v>87</v>
      </c>
      <c r="D17" t="s">
        <v>39</v>
      </c>
      <c r="E17" s="15">
        <v>4500</v>
      </c>
      <c r="F17" s="29">
        <v>15</v>
      </c>
      <c r="G17" s="277">
        <v>610</v>
      </c>
      <c r="H17" s="15"/>
      <c r="I17" s="15"/>
      <c r="J17" s="15"/>
      <c r="K17" s="15">
        <f t="shared" si="1"/>
        <v>4500</v>
      </c>
      <c r="L17" s="15">
        <v>0</v>
      </c>
      <c r="M17" s="15">
        <v>428.97</v>
      </c>
      <c r="N17" s="15">
        <v>428.97</v>
      </c>
      <c r="O17" s="15">
        <v>0</v>
      </c>
      <c r="P17" s="15">
        <f t="shared" si="2"/>
        <v>517.5</v>
      </c>
      <c r="Q17" s="15">
        <f t="shared" si="5"/>
        <v>1556.47</v>
      </c>
      <c r="R17" s="271">
        <f t="shared" si="3"/>
        <v>2943.5299999999997</v>
      </c>
      <c r="S17" s="11">
        <v>251.41</v>
      </c>
      <c r="T17" s="263">
        <f>+E17*17.5%+135</f>
        <v>922.5</v>
      </c>
      <c r="U17" s="263">
        <f t="shared" si="6"/>
        <v>90</v>
      </c>
      <c r="V17" s="35">
        <f t="shared" si="4"/>
        <v>1263.9100000000001</v>
      </c>
    </row>
    <row r="18" spans="2:22" ht="18.75" x14ac:dyDescent="0.3">
      <c r="B18" t="s">
        <v>116</v>
      </c>
      <c r="C18" s="133" t="s">
        <v>89</v>
      </c>
      <c r="D18" t="s">
        <v>4</v>
      </c>
      <c r="E18" s="15">
        <v>2700</v>
      </c>
      <c r="F18" s="29">
        <v>15</v>
      </c>
      <c r="G18" s="277">
        <v>450</v>
      </c>
      <c r="H18" s="15"/>
      <c r="I18" s="15"/>
      <c r="J18" s="15"/>
      <c r="K18" s="15">
        <f t="shared" si="1"/>
        <v>2700</v>
      </c>
      <c r="L18" s="15">
        <v>147.32</v>
      </c>
      <c r="M18" s="15">
        <v>188.33</v>
      </c>
      <c r="N18" s="15">
        <f t="shared" si="7"/>
        <v>41.010000000000019</v>
      </c>
      <c r="O18" s="15">
        <v>0</v>
      </c>
      <c r="P18" s="20">
        <f t="shared" si="2"/>
        <v>310.5</v>
      </c>
      <c r="Q18" s="15">
        <f t="shared" si="5"/>
        <v>801.51</v>
      </c>
      <c r="R18" s="271">
        <f t="shared" si="3"/>
        <v>1898.49</v>
      </c>
      <c r="S18" s="11">
        <v>240.25</v>
      </c>
      <c r="T18" s="263">
        <f>+E18*17.5%+81</f>
        <v>553.5</v>
      </c>
      <c r="U18" s="263">
        <f t="shared" si="6"/>
        <v>54</v>
      </c>
      <c r="V18" s="35">
        <f t="shared" si="4"/>
        <v>847.75</v>
      </c>
    </row>
    <row r="19" spans="2:22" ht="18.75" x14ac:dyDescent="0.3">
      <c r="B19" t="s">
        <v>117</v>
      </c>
      <c r="C19" s="133" t="s">
        <v>88</v>
      </c>
      <c r="D19" t="s">
        <v>40</v>
      </c>
      <c r="E19" s="15">
        <v>3150</v>
      </c>
      <c r="F19" s="29">
        <v>15</v>
      </c>
      <c r="G19" s="277">
        <v>525</v>
      </c>
      <c r="H19" s="15"/>
      <c r="I19" s="15"/>
      <c r="J19" s="15"/>
      <c r="K19" s="15">
        <f>E19-I19</f>
        <v>3150</v>
      </c>
      <c r="L19" s="15">
        <v>126.77</v>
      </c>
      <c r="M19" s="15">
        <v>237.29</v>
      </c>
      <c r="N19" s="15">
        <f t="shared" si="7"/>
        <v>110.52</v>
      </c>
      <c r="O19" s="15">
        <v>0</v>
      </c>
      <c r="P19" s="20">
        <f t="shared" si="2"/>
        <v>362.25</v>
      </c>
      <c r="Q19" s="15">
        <f t="shared" si="5"/>
        <v>997.77</v>
      </c>
      <c r="R19" s="271">
        <f t="shared" si="3"/>
        <v>2152.23</v>
      </c>
      <c r="S19" s="11">
        <v>243.04</v>
      </c>
      <c r="T19" s="263">
        <f>+E19*17.5%+94.5</f>
        <v>645.75</v>
      </c>
      <c r="U19" s="263">
        <f t="shared" si="6"/>
        <v>63</v>
      </c>
      <c r="V19" s="35">
        <f t="shared" si="4"/>
        <v>951.79</v>
      </c>
    </row>
    <row r="20" spans="2:22" ht="18.75" x14ac:dyDescent="0.3">
      <c r="B20" s="2" t="s">
        <v>26</v>
      </c>
      <c r="C20" s="270"/>
      <c r="D20" s="30"/>
      <c r="E20" s="34">
        <f>SUM(E12:E19)</f>
        <v>41550</v>
      </c>
      <c r="F20" s="34"/>
      <c r="G20" s="264">
        <f>+G19+G18+G17+G16+G12</f>
        <v>5669</v>
      </c>
      <c r="H20" s="34"/>
      <c r="I20" s="34">
        <f t="shared" ref="I20:V20" si="8">SUM(I12:I19)</f>
        <v>0</v>
      </c>
      <c r="J20" s="34">
        <f t="shared" si="8"/>
        <v>0</v>
      </c>
      <c r="K20" s="34">
        <f t="shared" si="8"/>
        <v>41550</v>
      </c>
      <c r="L20" s="34">
        <f t="shared" si="8"/>
        <v>274.08999999999997</v>
      </c>
      <c r="M20" s="34">
        <f t="shared" si="8"/>
        <v>4766.9900000000007</v>
      </c>
      <c r="N20" s="34">
        <f t="shared" si="8"/>
        <v>4494.3500000000013</v>
      </c>
      <c r="O20" s="34">
        <f t="shared" si="8"/>
        <v>0</v>
      </c>
      <c r="P20" s="34">
        <f>SUM(P12:P19)</f>
        <v>4778.25</v>
      </c>
      <c r="Q20" s="34">
        <f t="shared" si="8"/>
        <v>14941.6</v>
      </c>
      <c r="R20" s="264">
        <f t="shared" si="8"/>
        <v>26608.399999999998</v>
      </c>
      <c r="S20" s="34">
        <f t="shared" si="8"/>
        <v>2045.7200000000003</v>
      </c>
      <c r="T20" s="34">
        <f t="shared" si="8"/>
        <v>8517.75</v>
      </c>
      <c r="U20" s="34">
        <f t="shared" si="8"/>
        <v>831</v>
      </c>
      <c r="V20" s="34">
        <f t="shared" si="8"/>
        <v>11394.470000000001</v>
      </c>
    </row>
    <row r="21" spans="2:22" ht="18.75" hidden="1" x14ac:dyDescent="0.3">
      <c r="B21" s="2"/>
      <c r="C21" s="133"/>
      <c r="E21" s="15"/>
      <c r="F21" s="15"/>
      <c r="G21" s="26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265"/>
    </row>
    <row r="22" spans="2:22" ht="18.75" x14ac:dyDescent="0.3">
      <c r="B22" s="2" t="s">
        <v>50</v>
      </c>
      <c r="C22" s="270" t="s">
        <v>160</v>
      </c>
      <c r="E22" s="15"/>
      <c r="F22" s="15"/>
      <c r="G22" s="265"/>
      <c r="H22" s="15"/>
      <c r="I22" s="15"/>
      <c r="J22" s="15"/>
      <c r="K22" s="113"/>
      <c r="L22" s="113"/>
      <c r="M22" s="15"/>
      <c r="N22" s="15"/>
      <c r="O22" s="15"/>
      <c r="P22" s="15"/>
      <c r="Q22" s="15"/>
      <c r="R22" s="265"/>
    </row>
    <row r="23" spans="2:22" ht="18.75" hidden="1" x14ac:dyDescent="0.3">
      <c r="B23" t="s">
        <v>119</v>
      </c>
      <c r="C23" s="133"/>
      <c r="D23" t="s">
        <v>76</v>
      </c>
      <c r="E23" s="15">
        <v>0</v>
      </c>
      <c r="F23" s="29">
        <v>0</v>
      </c>
      <c r="G23" s="278"/>
      <c r="H23" s="15"/>
      <c r="I23" s="15"/>
      <c r="J23" s="15"/>
      <c r="K23" s="15">
        <f>E23-I23</f>
        <v>0</v>
      </c>
      <c r="L23" s="15">
        <v>0</v>
      </c>
      <c r="M23" s="15">
        <v>0</v>
      </c>
      <c r="N23" s="15">
        <v>0</v>
      </c>
      <c r="O23" s="15">
        <v>0</v>
      </c>
      <c r="P23" s="20">
        <f>E23*0.115</f>
        <v>0</v>
      </c>
      <c r="Q23" s="15">
        <f>SUM(N23:P23)+G23</f>
        <v>0</v>
      </c>
      <c r="R23" s="266">
        <f>K23-Q23</f>
        <v>0</v>
      </c>
      <c r="S23" s="11">
        <v>0</v>
      </c>
      <c r="T23" s="263">
        <f t="shared" ref="T23" si="9">+E23*17.5%</f>
        <v>0</v>
      </c>
      <c r="U23" s="263">
        <f t="shared" ref="U23:U24" si="10">+E23*2%</f>
        <v>0</v>
      </c>
      <c r="V23" s="35">
        <f t="shared" ref="V23" si="11">SUM(S23:U23)</f>
        <v>0</v>
      </c>
    </row>
    <row r="24" spans="2:22" ht="18.75" x14ac:dyDescent="0.3">
      <c r="B24" t="s">
        <v>120</v>
      </c>
      <c r="C24" s="133" t="s">
        <v>93</v>
      </c>
      <c r="D24" t="s">
        <v>78</v>
      </c>
      <c r="E24" s="15">
        <v>5350</v>
      </c>
      <c r="F24" s="29">
        <v>15</v>
      </c>
      <c r="G24" s="277">
        <v>1115</v>
      </c>
      <c r="H24" s="15"/>
      <c r="I24" s="71"/>
      <c r="J24" s="15"/>
      <c r="K24" s="15">
        <f>E24-I24</f>
        <v>5350</v>
      </c>
      <c r="L24" s="15">
        <v>0</v>
      </c>
      <c r="M24" s="15">
        <v>588.20000000000005</v>
      </c>
      <c r="N24" s="15">
        <f>M24-L24</f>
        <v>588.20000000000005</v>
      </c>
      <c r="O24" s="15">
        <v>0</v>
      </c>
      <c r="P24" s="20">
        <f>E24*0.115</f>
        <v>615.25</v>
      </c>
      <c r="Q24" s="15">
        <f>SUM(N24:P24)+G24</f>
        <v>2318.4499999999998</v>
      </c>
      <c r="R24" s="271">
        <f>K24-Q24</f>
        <v>3031.55</v>
      </c>
      <c r="S24" s="11">
        <v>256.68</v>
      </c>
      <c r="T24" s="263">
        <f>+E24*17.5%+160.5</f>
        <v>1096.75</v>
      </c>
      <c r="U24" s="263">
        <f t="shared" si="10"/>
        <v>107</v>
      </c>
      <c r="V24" s="35">
        <f>SUM(S24:U24)</f>
        <v>1460.43</v>
      </c>
    </row>
    <row r="25" spans="2:22" ht="18.75" x14ac:dyDescent="0.3">
      <c r="B25" t="s">
        <v>121</v>
      </c>
      <c r="C25" s="133" t="s">
        <v>114</v>
      </c>
      <c r="D25" t="s">
        <v>186</v>
      </c>
      <c r="E25" s="15">
        <v>5350</v>
      </c>
      <c r="F25" s="29">
        <v>15</v>
      </c>
      <c r="G25" s="265"/>
      <c r="H25" s="15"/>
      <c r="I25" s="71"/>
      <c r="J25" s="15"/>
      <c r="K25" s="15">
        <f>E25-I25</f>
        <v>5350</v>
      </c>
      <c r="L25" s="15">
        <v>0</v>
      </c>
      <c r="M25" s="15">
        <v>588.20000000000005</v>
      </c>
      <c r="N25" s="15">
        <f>M25-L25</f>
        <v>588.20000000000005</v>
      </c>
      <c r="O25" s="15">
        <v>0</v>
      </c>
      <c r="P25" s="20">
        <f>E25*0.115</f>
        <v>615.25</v>
      </c>
      <c r="Q25" s="15">
        <f>SUM(N25:P25)+G25</f>
        <v>1203.45</v>
      </c>
      <c r="R25" s="271">
        <f>K25-Q25</f>
        <v>4146.55</v>
      </c>
      <c r="S25" s="11">
        <v>256.68</v>
      </c>
      <c r="T25" s="263">
        <f>+E25*17.5%+160.5</f>
        <v>1096.75</v>
      </c>
      <c r="U25" s="263">
        <f t="shared" ref="U25" si="12">+E25*2%</f>
        <v>107</v>
      </c>
      <c r="V25" s="35">
        <f>SUM(S25:U25)</f>
        <v>1460.43</v>
      </c>
    </row>
    <row r="26" spans="2:22" ht="18.75" x14ac:dyDescent="0.3">
      <c r="B26" s="2" t="s">
        <v>26</v>
      </c>
      <c r="C26" s="270"/>
      <c r="D26" s="30"/>
      <c r="E26" s="34">
        <f>SUM(E23:E25)</f>
        <v>10700</v>
      </c>
      <c r="F26" s="34"/>
      <c r="G26" s="264">
        <f>+G25+G24+G23</f>
        <v>1115</v>
      </c>
      <c r="H26" s="34"/>
      <c r="I26" s="34">
        <f>SUM(I23:I25)</f>
        <v>0</v>
      </c>
      <c r="J26" s="34">
        <f>SUM(J23:J25)</f>
        <v>0</v>
      </c>
      <c r="K26" s="34">
        <f t="shared" ref="K26:V26" si="13">SUM(K23:K25)</f>
        <v>10700</v>
      </c>
      <c r="L26" s="34">
        <f t="shared" si="13"/>
        <v>0</v>
      </c>
      <c r="M26" s="34">
        <f t="shared" si="13"/>
        <v>1176.4000000000001</v>
      </c>
      <c r="N26" s="34">
        <f t="shared" si="13"/>
        <v>1176.4000000000001</v>
      </c>
      <c r="O26" s="34">
        <f t="shared" si="13"/>
        <v>0</v>
      </c>
      <c r="P26" s="34">
        <f>SUM(P23:P25)</f>
        <v>1230.5</v>
      </c>
      <c r="Q26" s="34">
        <f t="shared" si="13"/>
        <v>3521.8999999999996</v>
      </c>
      <c r="R26" s="264">
        <f t="shared" si="13"/>
        <v>7178.1</v>
      </c>
      <c r="S26" s="34">
        <f t="shared" si="13"/>
        <v>513.36</v>
      </c>
      <c r="T26" s="34">
        <f t="shared" si="13"/>
        <v>2193.5</v>
      </c>
      <c r="U26" s="34">
        <f t="shared" si="13"/>
        <v>214</v>
      </c>
      <c r="V26" s="34">
        <f t="shared" si="13"/>
        <v>2920.86</v>
      </c>
    </row>
    <row r="27" spans="2:22" ht="18.75" hidden="1" x14ac:dyDescent="0.3">
      <c r="C27" s="133"/>
      <c r="E27" s="15"/>
      <c r="F27" s="15"/>
      <c r="G27" s="26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265"/>
    </row>
    <row r="28" spans="2:22" ht="18.75" x14ac:dyDescent="0.3">
      <c r="B28" s="2" t="s">
        <v>63</v>
      </c>
      <c r="C28" s="270" t="s">
        <v>51</v>
      </c>
      <c r="E28" s="15"/>
      <c r="F28" s="15"/>
      <c r="G28" s="26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265"/>
    </row>
    <row r="29" spans="2:22" ht="18.75" x14ac:dyDescent="0.3">
      <c r="B29" t="s">
        <v>122</v>
      </c>
      <c r="C29" s="133" t="s">
        <v>97</v>
      </c>
      <c r="D29" t="s">
        <v>80</v>
      </c>
      <c r="E29" s="15">
        <v>5350</v>
      </c>
      <c r="F29" s="29">
        <v>15</v>
      </c>
      <c r="G29" s="265"/>
      <c r="H29" s="15"/>
      <c r="I29" s="71"/>
      <c r="J29" s="15"/>
      <c r="K29" s="15">
        <f t="shared" ref="K29:K39" si="14">E29-I29</f>
        <v>5350</v>
      </c>
      <c r="L29" s="15">
        <v>0</v>
      </c>
      <c r="M29" s="15">
        <v>588.20000000000005</v>
      </c>
      <c r="N29" s="15">
        <f>M29-L29</f>
        <v>588.20000000000005</v>
      </c>
      <c r="O29" s="15">
        <v>0</v>
      </c>
      <c r="P29" s="20">
        <f>E29*0.115</f>
        <v>615.25</v>
      </c>
      <c r="Q29" s="15">
        <f t="shared" ref="Q29:Q39" si="15">SUM(N29:P29)+G29</f>
        <v>1203.45</v>
      </c>
      <c r="R29" s="271">
        <f t="shared" ref="R29:R39" si="16">K29-Q29</f>
        <v>4146.55</v>
      </c>
      <c r="S29" s="11">
        <v>256.68</v>
      </c>
      <c r="T29" s="263">
        <f t="shared" ref="T29:T39" si="17">+E29*17.5%+160.5</f>
        <v>1096.75</v>
      </c>
      <c r="U29" s="263">
        <f t="shared" ref="U29:U31" si="18">+E29*2%</f>
        <v>107</v>
      </c>
      <c r="V29" s="35">
        <f>SUM(S29:U29)</f>
        <v>1460.43</v>
      </c>
    </row>
    <row r="30" spans="2:22" ht="18.75" x14ac:dyDescent="0.3">
      <c r="B30" t="s">
        <v>123</v>
      </c>
      <c r="C30" s="133" t="s">
        <v>100</v>
      </c>
      <c r="D30" t="s">
        <v>80</v>
      </c>
      <c r="E30" s="15">
        <v>5350</v>
      </c>
      <c r="F30" s="29">
        <v>15</v>
      </c>
      <c r="G30" s="277">
        <v>904</v>
      </c>
      <c r="H30" s="15"/>
      <c r="I30" s="77"/>
      <c r="J30" s="20"/>
      <c r="K30" s="20">
        <f t="shared" si="14"/>
        <v>5350</v>
      </c>
      <c r="L30" s="20">
        <v>0</v>
      </c>
      <c r="M30" s="20">
        <v>588.20000000000005</v>
      </c>
      <c r="N30" s="20">
        <v>588.20000000000005</v>
      </c>
      <c r="O30" s="15">
        <v>0</v>
      </c>
      <c r="P30" s="20">
        <f t="shared" ref="P30:P39" si="19">E30*0.115</f>
        <v>615.25</v>
      </c>
      <c r="Q30" s="15">
        <f t="shared" si="15"/>
        <v>2107.4499999999998</v>
      </c>
      <c r="R30" s="271">
        <f t="shared" si="16"/>
        <v>3242.55</v>
      </c>
      <c r="S30" s="11">
        <v>256.68</v>
      </c>
      <c r="T30" s="263">
        <f t="shared" si="17"/>
        <v>1096.75</v>
      </c>
      <c r="U30" s="263">
        <f t="shared" si="18"/>
        <v>107</v>
      </c>
      <c r="V30" s="35">
        <f>SUM(S30:U30)</f>
        <v>1460.43</v>
      </c>
    </row>
    <row r="31" spans="2:22" ht="18.75" x14ac:dyDescent="0.3">
      <c r="B31" t="s">
        <v>124</v>
      </c>
      <c r="C31" s="133" t="s">
        <v>96</v>
      </c>
      <c r="D31" t="s">
        <v>78</v>
      </c>
      <c r="E31" s="15">
        <v>5350</v>
      </c>
      <c r="F31" s="29">
        <v>15</v>
      </c>
      <c r="G31" s="265"/>
      <c r="H31" s="15"/>
      <c r="I31" s="20"/>
      <c r="J31" s="20"/>
      <c r="K31" s="20">
        <f t="shared" si="14"/>
        <v>5350</v>
      </c>
      <c r="L31" s="20">
        <v>0</v>
      </c>
      <c r="M31" s="20">
        <v>588.20000000000005</v>
      </c>
      <c r="N31" s="20">
        <f t="shared" ref="N31:N39" si="20">M31-L31</f>
        <v>588.20000000000005</v>
      </c>
      <c r="O31" s="15">
        <v>0</v>
      </c>
      <c r="P31" s="20">
        <f t="shared" si="19"/>
        <v>615.25</v>
      </c>
      <c r="Q31" s="15">
        <f t="shared" si="15"/>
        <v>1203.45</v>
      </c>
      <c r="R31" s="271">
        <f t="shared" si="16"/>
        <v>4146.55</v>
      </c>
      <c r="S31" s="11">
        <v>256.68</v>
      </c>
      <c r="T31" s="263">
        <f t="shared" si="17"/>
        <v>1096.75</v>
      </c>
      <c r="U31" s="263">
        <f t="shared" si="18"/>
        <v>107</v>
      </c>
      <c r="V31" s="35">
        <f>SUM(S31:U31)</f>
        <v>1460.43</v>
      </c>
    </row>
    <row r="32" spans="2:22" ht="18.75" x14ac:dyDescent="0.3">
      <c r="B32" t="s">
        <v>125</v>
      </c>
      <c r="C32" s="133" t="s">
        <v>104</v>
      </c>
      <c r="D32" t="s">
        <v>78</v>
      </c>
      <c r="E32" s="15">
        <v>5350</v>
      </c>
      <c r="F32" s="29">
        <v>15</v>
      </c>
      <c r="G32" s="265"/>
      <c r="H32" s="15"/>
      <c r="I32" s="20"/>
      <c r="J32" s="20"/>
      <c r="K32" s="20">
        <f t="shared" si="14"/>
        <v>5350</v>
      </c>
      <c r="L32" s="20">
        <v>0</v>
      </c>
      <c r="M32" s="20">
        <v>588.20000000000005</v>
      </c>
      <c r="N32" s="20">
        <f t="shared" si="20"/>
        <v>588.20000000000005</v>
      </c>
      <c r="O32" s="15">
        <v>0</v>
      </c>
      <c r="P32" s="20">
        <f t="shared" si="19"/>
        <v>615.25</v>
      </c>
      <c r="Q32" s="15">
        <f t="shared" si="15"/>
        <v>1203.45</v>
      </c>
      <c r="R32" s="271">
        <f t="shared" si="16"/>
        <v>4146.55</v>
      </c>
      <c r="S32" s="11">
        <v>256.68</v>
      </c>
      <c r="T32" s="263">
        <f t="shared" si="17"/>
        <v>1096.75</v>
      </c>
      <c r="U32" s="263">
        <f t="shared" ref="U32:U39" si="21">+E32*2%</f>
        <v>107</v>
      </c>
      <c r="V32" s="35">
        <f t="shared" ref="V32:V39" si="22">SUM(S32:U32)</f>
        <v>1460.43</v>
      </c>
    </row>
    <row r="33" spans="2:22" ht="18.75" x14ac:dyDescent="0.3">
      <c r="B33" t="s">
        <v>126</v>
      </c>
      <c r="C33" s="133" t="s">
        <v>94</v>
      </c>
      <c r="D33" t="s">
        <v>81</v>
      </c>
      <c r="E33" s="15">
        <v>5350</v>
      </c>
      <c r="F33" s="29">
        <v>15</v>
      </c>
      <c r="G33" s="277">
        <v>595</v>
      </c>
      <c r="H33" s="15"/>
      <c r="I33" s="20"/>
      <c r="J33" s="20"/>
      <c r="K33" s="20">
        <f>E33-I33</f>
        <v>5350</v>
      </c>
      <c r="L33" s="20">
        <v>0</v>
      </c>
      <c r="M33" s="20">
        <v>588.20000000000005</v>
      </c>
      <c r="N33" s="20">
        <v>588.02</v>
      </c>
      <c r="O33" s="15">
        <v>0</v>
      </c>
      <c r="P33" s="20">
        <f t="shared" si="19"/>
        <v>615.25</v>
      </c>
      <c r="Q33" s="15">
        <f t="shared" si="15"/>
        <v>1798.27</v>
      </c>
      <c r="R33" s="271">
        <f>K33-Q33</f>
        <v>3551.73</v>
      </c>
      <c r="S33" s="11">
        <v>256.68</v>
      </c>
      <c r="T33" s="263">
        <f t="shared" si="17"/>
        <v>1096.75</v>
      </c>
      <c r="U33" s="263">
        <f t="shared" si="21"/>
        <v>107</v>
      </c>
      <c r="V33" s="35">
        <f t="shared" si="22"/>
        <v>1460.43</v>
      </c>
    </row>
    <row r="34" spans="2:22" ht="18.75" x14ac:dyDescent="0.3">
      <c r="B34" t="s">
        <v>127</v>
      </c>
      <c r="C34" s="133" t="s">
        <v>98</v>
      </c>
      <c r="D34" t="s">
        <v>81</v>
      </c>
      <c r="E34" s="15">
        <v>5350</v>
      </c>
      <c r="F34" s="29">
        <v>15</v>
      </c>
      <c r="G34" s="265"/>
      <c r="H34" s="20"/>
      <c r="I34" s="20"/>
      <c r="J34" s="20"/>
      <c r="K34" s="20">
        <f>E34-I34</f>
        <v>5350</v>
      </c>
      <c r="L34" s="20">
        <v>0</v>
      </c>
      <c r="M34" s="20">
        <v>588.20000000000005</v>
      </c>
      <c r="N34" s="20">
        <f t="shared" si="20"/>
        <v>588.20000000000005</v>
      </c>
      <c r="O34" s="15">
        <v>0</v>
      </c>
      <c r="P34" s="20">
        <f>E34*0.115</f>
        <v>615.25</v>
      </c>
      <c r="Q34" s="15">
        <f>SUM(N34:P34)+G34</f>
        <v>1203.45</v>
      </c>
      <c r="R34" s="271">
        <f>K34-Q34</f>
        <v>4146.55</v>
      </c>
      <c r="S34" s="11">
        <v>256.68</v>
      </c>
      <c r="T34" s="263">
        <f t="shared" si="17"/>
        <v>1096.75</v>
      </c>
      <c r="U34" s="263">
        <f t="shared" si="21"/>
        <v>107</v>
      </c>
      <c r="V34" s="35">
        <f t="shared" si="22"/>
        <v>1460.43</v>
      </c>
    </row>
    <row r="35" spans="2:22" ht="18.75" x14ac:dyDescent="0.3">
      <c r="B35" t="s">
        <v>128</v>
      </c>
      <c r="C35" s="133" t="s">
        <v>101</v>
      </c>
      <c r="D35" t="s">
        <v>81</v>
      </c>
      <c r="E35" s="15">
        <v>5350</v>
      </c>
      <c r="F35" s="29">
        <v>15</v>
      </c>
      <c r="G35" s="265"/>
      <c r="H35" s="15"/>
      <c r="I35" s="20"/>
      <c r="J35" s="20"/>
      <c r="K35" s="20">
        <f>E35-I35</f>
        <v>5350</v>
      </c>
      <c r="L35" s="20">
        <v>0</v>
      </c>
      <c r="M35" s="15">
        <v>588.20000000000005</v>
      </c>
      <c r="N35" s="15">
        <f>M35-L35</f>
        <v>588.20000000000005</v>
      </c>
      <c r="O35" s="15">
        <v>0</v>
      </c>
      <c r="P35" s="20">
        <f t="shared" si="19"/>
        <v>615.25</v>
      </c>
      <c r="Q35" s="15">
        <f>SUM(N35:P35)+G35</f>
        <v>1203.45</v>
      </c>
      <c r="R35" s="271">
        <f>K35-Q35</f>
        <v>4146.55</v>
      </c>
      <c r="S35" s="11">
        <v>256.68</v>
      </c>
      <c r="T35" s="263">
        <f t="shared" si="17"/>
        <v>1096.75</v>
      </c>
      <c r="U35" s="263">
        <f t="shared" si="21"/>
        <v>107</v>
      </c>
      <c r="V35" s="35">
        <f t="shared" si="22"/>
        <v>1460.43</v>
      </c>
    </row>
    <row r="36" spans="2:22" ht="18.75" x14ac:dyDescent="0.3">
      <c r="B36" t="s">
        <v>129</v>
      </c>
      <c r="C36" s="133" t="s">
        <v>95</v>
      </c>
      <c r="D36" t="s">
        <v>82</v>
      </c>
      <c r="E36" s="15">
        <v>5350</v>
      </c>
      <c r="F36" s="29">
        <v>15</v>
      </c>
      <c r="G36" s="277">
        <v>1190</v>
      </c>
      <c r="H36" s="15"/>
      <c r="I36" s="20"/>
      <c r="J36" s="15"/>
      <c r="K36" s="15">
        <f t="shared" si="14"/>
        <v>5350</v>
      </c>
      <c r="L36" s="15">
        <v>0</v>
      </c>
      <c r="M36" s="15">
        <v>588.20000000000005</v>
      </c>
      <c r="N36" s="15">
        <f t="shared" si="20"/>
        <v>588.20000000000005</v>
      </c>
      <c r="O36" s="15">
        <v>0</v>
      </c>
      <c r="P36" s="20">
        <f t="shared" si="19"/>
        <v>615.25</v>
      </c>
      <c r="Q36" s="15">
        <f t="shared" si="15"/>
        <v>2393.4499999999998</v>
      </c>
      <c r="R36" s="271">
        <f t="shared" si="16"/>
        <v>2956.55</v>
      </c>
      <c r="S36" s="11">
        <v>256.68</v>
      </c>
      <c r="T36" s="263">
        <f t="shared" si="17"/>
        <v>1096.75</v>
      </c>
      <c r="U36" s="263">
        <f t="shared" si="21"/>
        <v>107</v>
      </c>
      <c r="V36" s="35">
        <f t="shared" si="22"/>
        <v>1460.43</v>
      </c>
    </row>
    <row r="37" spans="2:22" ht="18.75" x14ac:dyDescent="0.3">
      <c r="B37" t="s">
        <v>130</v>
      </c>
      <c r="C37" s="133" t="s">
        <v>102</v>
      </c>
      <c r="D37" t="s">
        <v>82</v>
      </c>
      <c r="E37" s="15">
        <v>5350</v>
      </c>
      <c r="F37" s="29">
        <v>15</v>
      </c>
      <c r="G37" s="277">
        <v>927.62</v>
      </c>
      <c r="H37" s="15"/>
      <c r="I37" s="20"/>
      <c r="J37" s="15"/>
      <c r="K37" s="15">
        <f t="shared" si="14"/>
        <v>5350</v>
      </c>
      <c r="L37" s="15">
        <v>0</v>
      </c>
      <c r="M37" s="15">
        <v>588.20000000000005</v>
      </c>
      <c r="N37" s="15">
        <v>588.20000000000005</v>
      </c>
      <c r="O37" s="15">
        <v>0</v>
      </c>
      <c r="P37" s="20">
        <f t="shared" si="19"/>
        <v>615.25</v>
      </c>
      <c r="Q37" s="15">
        <f>SUM(N37:P37)+G37</f>
        <v>2131.0700000000002</v>
      </c>
      <c r="R37" s="271">
        <f t="shared" si="16"/>
        <v>3218.93</v>
      </c>
      <c r="S37" s="11">
        <v>256.68</v>
      </c>
      <c r="T37" s="263">
        <f t="shared" si="17"/>
        <v>1096.75</v>
      </c>
      <c r="U37" s="263">
        <f t="shared" si="21"/>
        <v>107</v>
      </c>
      <c r="V37" s="35">
        <f t="shared" si="22"/>
        <v>1460.43</v>
      </c>
    </row>
    <row r="38" spans="2:22" ht="18.75" x14ac:dyDescent="0.3">
      <c r="B38" t="s">
        <v>131</v>
      </c>
      <c r="C38" s="133" t="s">
        <v>85</v>
      </c>
      <c r="D38" t="s">
        <v>83</v>
      </c>
      <c r="E38" s="15">
        <v>5350</v>
      </c>
      <c r="F38" s="29">
        <v>15</v>
      </c>
      <c r="G38" s="277">
        <v>1784</v>
      </c>
      <c r="H38" s="15"/>
      <c r="I38" s="15"/>
      <c r="J38" s="15"/>
      <c r="K38" s="15">
        <f t="shared" si="14"/>
        <v>5350</v>
      </c>
      <c r="L38" s="15">
        <v>0</v>
      </c>
      <c r="M38" s="15">
        <v>588.20000000000005</v>
      </c>
      <c r="N38" s="15">
        <f t="shared" si="20"/>
        <v>588.20000000000005</v>
      </c>
      <c r="O38" s="15">
        <v>0</v>
      </c>
      <c r="P38" s="20">
        <f t="shared" si="19"/>
        <v>615.25</v>
      </c>
      <c r="Q38" s="15">
        <f t="shared" si="15"/>
        <v>2987.45</v>
      </c>
      <c r="R38" s="271">
        <f t="shared" si="16"/>
        <v>2362.5500000000002</v>
      </c>
      <c r="S38" s="11">
        <v>256.68</v>
      </c>
      <c r="T38" s="263">
        <f t="shared" si="17"/>
        <v>1096.75</v>
      </c>
      <c r="U38" s="263">
        <f t="shared" si="21"/>
        <v>107</v>
      </c>
      <c r="V38" s="35">
        <f t="shared" si="22"/>
        <v>1460.43</v>
      </c>
    </row>
    <row r="39" spans="2:22" ht="18.75" x14ac:dyDescent="0.3">
      <c r="B39" t="s">
        <v>132</v>
      </c>
      <c r="C39" s="133" t="s">
        <v>103</v>
      </c>
      <c r="D39" t="s">
        <v>83</v>
      </c>
      <c r="E39" s="15">
        <v>5350</v>
      </c>
      <c r="F39" s="29">
        <v>15</v>
      </c>
      <c r="G39" s="278"/>
      <c r="H39" s="15"/>
      <c r="I39" s="71"/>
      <c r="J39" s="15"/>
      <c r="K39" s="15">
        <f t="shared" si="14"/>
        <v>5350</v>
      </c>
      <c r="L39" s="15">
        <v>0</v>
      </c>
      <c r="M39" s="15">
        <v>588.20000000000005</v>
      </c>
      <c r="N39" s="15">
        <f t="shared" si="20"/>
        <v>588.20000000000005</v>
      </c>
      <c r="O39" s="15">
        <v>0</v>
      </c>
      <c r="P39" s="20">
        <f t="shared" si="19"/>
        <v>615.25</v>
      </c>
      <c r="Q39" s="15">
        <f t="shared" si="15"/>
        <v>1203.45</v>
      </c>
      <c r="R39" s="271">
        <f t="shared" si="16"/>
        <v>4146.55</v>
      </c>
      <c r="S39" s="11">
        <v>256.68</v>
      </c>
      <c r="T39" s="263">
        <f t="shared" si="17"/>
        <v>1096.75</v>
      </c>
      <c r="U39" s="263">
        <f t="shared" si="21"/>
        <v>107</v>
      </c>
      <c r="V39" s="35">
        <f t="shared" si="22"/>
        <v>1460.43</v>
      </c>
    </row>
    <row r="40" spans="2:22" ht="18.75" x14ac:dyDescent="0.3">
      <c r="B40" s="2" t="s">
        <v>26</v>
      </c>
      <c r="C40" s="270"/>
      <c r="D40" s="30"/>
      <c r="E40" s="34">
        <f>SUM(E29:E39)</f>
        <v>58850</v>
      </c>
      <c r="F40" s="34"/>
      <c r="G40" s="264">
        <f>+G39+G38+G37+G36+G35+G34+G33+G30</f>
        <v>5400.62</v>
      </c>
      <c r="H40" s="34"/>
      <c r="I40" s="34">
        <f>SUM(I29:I39)</f>
        <v>0</v>
      </c>
      <c r="J40" s="34">
        <f>SUM(J29:J39)</f>
        <v>0</v>
      </c>
      <c r="K40" s="34">
        <f>SUM(K29:K39)</f>
        <v>58850</v>
      </c>
      <c r="L40" s="34">
        <f t="shared" ref="L40:R40" si="23">SUM(L29:L39)</f>
        <v>0</v>
      </c>
      <c r="M40" s="34">
        <f t="shared" si="23"/>
        <v>6470.1999999999989</v>
      </c>
      <c r="N40" s="34">
        <f t="shared" si="23"/>
        <v>6470.0199999999995</v>
      </c>
      <c r="O40" s="34">
        <f t="shared" si="23"/>
        <v>0</v>
      </c>
      <c r="P40" s="34">
        <f>SUM(P29:P39)</f>
        <v>6767.75</v>
      </c>
      <c r="Q40" s="34">
        <f t="shared" si="23"/>
        <v>18638.390000000003</v>
      </c>
      <c r="R40" s="264">
        <f t="shared" si="23"/>
        <v>40211.61</v>
      </c>
      <c r="S40" s="34">
        <f>SUM(S29:S39)</f>
        <v>2823.4799999999996</v>
      </c>
      <c r="T40" s="34">
        <f>SUM(T29:T39)</f>
        <v>12064.25</v>
      </c>
      <c r="U40" s="34">
        <f>SUM(U29:U39)</f>
        <v>1177</v>
      </c>
      <c r="V40" s="34">
        <f>SUM(V29:V39)</f>
        <v>16064.730000000001</v>
      </c>
    </row>
    <row r="41" spans="2:22" ht="18.75" hidden="1" x14ac:dyDescent="0.3">
      <c r="C41" s="133"/>
      <c r="E41" s="15"/>
      <c r="F41" s="15"/>
      <c r="G41" s="26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265"/>
    </row>
    <row r="42" spans="2:22" ht="18.75" x14ac:dyDescent="0.3">
      <c r="B42" s="2" t="s">
        <v>140</v>
      </c>
      <c r="C42" s="270" t="s">
        <v>64</v>
      </c>
      <c r="E42" s="15"/>
      <c r="F42" s="15"/>
      <c r="G42" s="26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265"/>
    </row>
    <row r="43" spans="2:22" ht="18.75" hidden="1" x14ac:dyDescent="0.3">
      <c r="B43" t="s">
        <v>133</v>
      </c>
      <c r="C43" s="133">
        <v>0</v>
      </c>
      <c r="D43" t="s">
        <v>80</v>
      </c>
      <c r="E43" s="15">
        <v>0</v>
      </c>
      <c r="F43" s="29">
        <v>0</v>
      </c>
      <c r="G43" s="265"/>
      <c r="H43" s="15"/>
      <c r="I43" s="77"/>
      <c r="J43" s="20"/>
      <c r="K43" s="20">
        <f>E43-I43</f>
        <v>0</v>
      </c>
      <c r="L43" s="20">
        <v>0</v>
      </c>
      <c r="M43" s="20">
        <v>0</v>
      </c>
      <c r="N43" s="20">
        <v>0</v>
      </c>
      <c r="O43" s="15">
        <v>0</v>
      </c>
      <c r="P43" s="15">
        <f t="shared" ref="P43" si="24">E43*0.115</f>
        <v>0</v>
      </c>
      <c r="Q43" s="15">
        <f>SUM(N43:P43)+G43</f>
        <v>0</v>
      </c>
      <c r="R43" s="266">
        <f>K43-Q43</f>
        <v>0</v>
      </c>
      <c r="S43" s="11">
        <v>0</v>
      </c>
      <c r="T43" s="263">
        <f t="shared" ref="T43" si="25">+E43*17.5%</f>
        <v>0</v>
      </c>
      <c r="U43" s="263">
        <f t="shared" ref="U43:U44" si="26">+E43*2%</f>
        <v>0</v>
      </c>
      <c r="V43" s="35">
        <f t="shared" ref="V43:V44" si="27">SUM(S43:U43)</f>
        <v>0</v>
      </c>
    </row>
    <row r="44" spans="2:22" ht="18.75" x14ac:dyDescent="0.3">
      <c r="B44" t="s">
        <v>152</v>
      </c>
      <c r="C44" s="133" t="s">
        <v>92</v>
      </c>
      <c r="D44" t="s">
        <v>80</v>
      </c>
      <c r="E44" s="15">
        <v>5350</v>
      </c>
      <c r="F44" s="29">
        <v>15</v>
      </c>
      <c r="G44" s="265"/>
      <c r="H44" s="15"/>
      <c r="I44" s="15"/>
      <c r="J44" s="15"/>
      <c r="K44" s="15">
        <f>E44-I44</f>
        <v>5350</v>
      </c>
      <c r="L44" s="15">
        <v>0</v>
      </c>
      <c r="M44" s="15">
        <v>588.20000000000005</v>
      </c>
      <c r="N44" s="15">
        <v>588.20000000000005</v>
      </c>
      <c r="O44" s="15">
        <v>0</v>
      </c>
      <c r="P44" s="15">
        <f>K44*0.115</f>
        <v>615.25</v>
      </c>
      <c r="Q44" s="15">
        <f>SUM(N44:P44)+G44</f>
        <v>1203.45</v>
      </c>
      <c r="R44" s="271">
        <f>K44-Q44</f>
        <v>4146.55</v>
      </c>
      <c r="S44" s="11">
        <v>256.68</v>
      </c>
      <c r="T44" s="263">
        <f>+E44*17.5%+160.5</f>
        <v>1096.75</v>
      </c>
      <c r="U44" s="263">
        <f t="shared" si="26"/>
        <v>107</v>
      </c>
      <c r="V44" s="35">
        <f t="shared" si="27"/>
        <v>1460.43</v>
      </c>
    </row>
    <row r="45" spans="2:22" ht="18.75" x14ac:dyDescent="0.3">
      <c r="B45" s="2" t="s">
        <v>26</v>
      </c>
      <c r="C45" s="270"/>
      <c r="D45" s="30"/>
      <c r="E45" s="34">
        <f>E43+E44</f>
        <v>5350</v>
      </c>
      <c r="F45" s="34"/>
      <c r="G45" s="264">
        <f>+G44+G43</f>
        <v>0</v>
      </c>
      <c r="H45" s="34"/>
      <c r="I45" s="34">
        <f>I43+I44</f>
        <v>0</v>
      </c>
      <c r="J45" s="34">
        <f>J43+J44</f>
        <v>0</v>
      </c>
      <c r="K45" s="34">
        <f t="shared" ref="K45:V45" si="28">K43+K44</f>
        <v>5350</v>
      </c>
      <c r="L45" s="34">
        <f t="shared" si="28"/>
        <v>0</v>
      </c>
      <c r="M45" s="34">
        <f t="shared" si="28"/>
        <v>588.20000000000005</v>
      </c>
      <c r="N45" s="34">
        <f t="shared" si="28"/>
        <v>588.20000000000005</v>
      </c>
      <c r="O45" s="34">
        <f t="shared" si="28"/>
        <v>0</v>
      </c>
      <c r="P45" s="34">
        <f>P43+P44</f>
        <v>615.25</v>
      </c>
      <c r="Q45" s="34">
        <f t="shared" si="28"/>
        <v>1203.45</v>
      </c>
      <c r="R45" s="264">
        <f t="shared" si="28"/>
        <v>4146.55</v>
      </c>
      <c r="S45" s="34">
        <f t="shared" si="28"/>
        <v>256.68</v>
      </c>
      <c r="T45" s="34">
        <f t="shared" si="28"/>
        <v>1096.75</v>
      </c>
      <c r="U45" s="34">
        <f t="shared" si="28"/>
        <v>107</v>
      </c>
      <c r="V45" s="34">
        <f t="shared" si="28"/>
        <v>1460.43</v>
      </c>
    </row>
    <row r="46" spans="2:22" ht="18.75" hidden="1" x14ac:dyDescent="0.3">
      <c r="B46" s="2"/>
      <c r="C46" s="133"/>
      <c r="E46" s="15"/>
      <c r="F46" s="15"/>
      <c r="G46" s="265"/>
      <c r="H46" s="15"/>
      <c r="I46" s="15"/>
      <c r="J46" s="15"/>
      <c r="K46" s="16"/>
      <c r="L46" s="16"/>
      <c r="M46" s="16"/>
      <c r="N46" s="16"/>
      <c r="O46" s="16"/>
      <c r="P46" s="16"/>
      <c r="Q46" s="16"/>
      <c r="R46" s="267"/>
      <c r="S46" s="8"/>
      <c r="T46" s="8"/>
      <c r="U46" s="8"/>
      <c r="V46" s="8"/>
    </row>
    <row r="47" spans="2:22" ht="18.75" x14ac:dyDescent="0.3">
      <c r="B47" s="2" t="s">
        <v>161</v>
      </c>
      <c r="C47" s="270" t="s">
        <v>162</v>
      </c>
      <c r="E47" s="15"/>
      <c r="F47" s="15"/>
      <c r="G47" s="265"/>
      <c r="H47" s="15"/>
      <c r="I47" s="15"/>
      <c r="J47" s="15"/>
      <c r="K47" s="16"/>
      <c r="L47" s="16"/>
      <c r="M47" s="16"/>
      <c r="N47" s="16"/>
      <c r="O47" s="16"/>
      <c r="P47" s="16"/>
      <c r="Q47" s="16"/>
      <c r="R47" s="267"/>
      <c r="S47" s="8"/>
      <c r="T47" s="8"/>
      <c r="U47" s="8"/>
      <c r="V47" s="8"/>
    </row>
    <row r="48" spans="2:22" ht="18.75" x14ac:dyDescent="0.3">
      <c r="B48" t="s">
        <v>163</v>
      </c>
      <c r="C48" s="269" t="s">
        <v>42</v>
      </c>
      <c r="D48" t="s">
        <v>2</v>
      </c>
      <c r="E48" s="15">
        <v>10000</v>
      </c>
      <c r="F48" s="29">
        <v>15</v>
      </c>
      <c r="G48" s="265"/>
      <c r="H48" s="15"/>
      <c r="I48" s="15"/>
      <c r="J48" s="15"/>
      <c r="K48" s="15">
        <f>E48-I48</f>
        <v>10000</v>
      </c>
      <c r="L48" s="15">
        <v>0</v>
      </c>
      <c r="M48" s="15">
        <v>1581.44</v>
      </c>
      <c r="N48" s="15">
        <f>M48-L48</f>
        <v>1581.44</v>
      </c>
      <c r="O48" s="15">
        <v>0</v>
      </c>
      <c r="P48" s="15">
        <f>E48*0.115</f>
        <v>1150</v>
      </c>
      <c r="Q48" s="15">
        <f>SUM(N48:P48)+G48</f>
        <v>2731.44</v>
      </c>
      <c r="R48" s="271">
        <f>K48-Q48</f>
        <v>7268.5599999999995</v>
      </c>
      <c r="S48" s="11">
        <v>285.52999999999997</v>
      </c>
      <c r="T48" s="263">
        <f>+E48*17.5%+300</f>
        <v>2050</v>
      </c>
      <c r="U48" s="263">
        <f t="shared" ref="U48" si="29">+E48*2%</f>
        <v>200</v>
      </c>
      <c r="V48" s="35">
        <f t="shared" ref="V48" si="30">SUM(S48:U48)</f>
        <v>2535.5299999999997</v>
      </c>
    </row>
    <row r="49" spans="2:22" ht="18.75" x14ac:dyDescent="0.3">
      <c r="B49" s="2" t="s">
        <v>26</v>
      </c>
      <c r="E49" s="34">
        <f>E48</f>
        <v>10000</v>
      </c>
      <c r="F49" s="34"/>
      <c r="G49" s="264">
        <f>+G48</f>
        <v>0</v>
      </c>
      <c r="H49" s="34"/>
      <c r="I49" s="34">
        <f>I48</f>
        <v>0</v>
      </c>
      <c r="J49" s="34">
        <f>J48</f>
        <v>0</v>
      </c>
      <c r="K49" s="34">
        <f t="shared" ref="K49:V49" si="31">K48</f>
        <v>10000</v>
      </c>
      <c r="L49" s="34">
        <f t="shared" si="31"/>
        <v>0</v>
      </c>
      <c r="M49" s="34">
        <f t="shared" si="31"/>
        <v>1581.44</v>
      </c>
      <c r="N49" s="34">
        <f t="shared" si="31"/>
        <v>1581.44</v>
      </c>
      <c r="O49" s="34">
        <f t="shared" si="31"/>
        <v>0</v>
      </c>
      <c r="P49" s="34">
        <f>P48</f>
        <v>1150</v>
      </c>
      <c r="Q49" s="34">
        <f t="shared" si="31"/>
        <v>2731.44</v>
      </c>
      <c r="R49" s="264">
        <f t="shared" si="31"/>
        <v>7268.5599999999995</v>
      </c>
      <c r="S49" s="34">
        <f t="shared" si="31"/>
        <v>285.52999999999997</v>
      </c>
      <c r="T49" s="34">
        <f t="shared" si="31"/>
        <v>2050</v>
      </c>
      <c r="U49" s="34">
        <f t="shared" si="31"/>
        <v>200</v>
      </c>
      <c r="V49" s="34">
        <f t="shared" si="31"/>
        <v>2535.5299999999997</v>
      </c>
    </row>
    <row r="50" spans="2:22" ht="12" customHeight="1" x14ac:dyDescent="0.3">
      <c r="B50" s="2"/>
      <c r="E50" s="15"/>
      <c r="F50" s="15"/>
      <c r="G50" s="15"/>
      <c r="H50" s="15"/>
      <c r="I50" s="15"/>
      <c r="J50" s="15"/>
      <c r="K50" s="16"/>
      <c r="L50" s="16"/>
      <c r="M50" s="16"/>
      <c r="N50" s="16"/>
      <c r="O50" s="16"/>
      <c r="P50" s="16"/>
      <c r="Q50" s="16"/>
      <c r="R50" s="267"/>
      <c r="S50" s="8"/>
      <c r="T50" s="8"/>
      <c r="U50" s="8"/>
      <c r="V50" s="8"/>
    </row>
    <row r="51" spans="2:22" ht="18.75" hidden="1" x14ac:dyDescent="0.3">
      <c r="R51" s="268"/>
    </row>
    <row r="52" spans="2:22" ht="18.75" x14ac:dyDescent="0.3">
      <c r="C52" s="53" t="s">
        <v>105</v>
      </c>
      <c r="E52" s="17">
        <f>E9+E20+E26+E40+E45+E49</f>
        <v>148254.95000000001</v>
      </c>
      <c r="F52" s="17"/>
      <c r="G52" s="17">
        <f>G9+G20+G26+G40+G45+G49</f>
        <v>15693.619999999999</v>
      </c>
      <c r="H52" s="17"/>
      <c r="I52" s="17">
        <f>I9+I20+I26+I40+I45+I49</f>
        <v>0</v>
      </c>
      <c r="J52" s="17">
        <f t="shared" ref="J52:Q52" si="32">J9+J20+J26+J40+J45+J49</f>
        <v>0</v>
      </c>
      <c r="K52" s="17">
        <f>K9+K20+K26+K40+K45+K49</f>
        <v>148254.95000000001</v>
      </c>
      <c r="L52" s="17">
        <f t="shared" si="32"/>
        <v>274.08999999999997</v>
      </c>
      <c r="M52" s="17">
        <f t="shared" si="32"/>
        <v>18321.849999999999</v>
      </c>
      <c r="N52" s="17">
        <f t="shared" si="32"/>
        <v>18049.03</v>
      </c>
      <c r="O52" s="17">
        <f t="shared" si="32"/>
        <v>0</v>
      </c>
      <c r="P52" s="17">
        <f>P9+P20+P26+P40+P45+P49</f>
        <v>17049.31925</v>
      </c>
      <c r="Q52" s="17">
        <f t="shared" si="32"/>
        <v>50791.969250000009</v>
      </c>
      <c r="R52" s="54">
        <f>R9+R20+R26+R40+R45+R49</f>
        <v>97462.980750000002</v>
      </c>
      <c r="S52" s="17">
        <f>S9+S20+S26+S40+S45+S49</f>
        <v>6507.0199999999995</v>
      </c>
      <c r="T52" s="17">
        <f>T9+T20+T26+T40+T45+T49</f>
        <v>30392.266250000001</v>
      </c>
      <c r="U52" s="17">
        <f>U9+U20+U26+U40+U45+U49</f>
        <v>2965.0990000000002</v>
      </c>
      <c r="V52" s="55">
        <f>V9+V20+V26+V40+V45+V49</f>
        <v>39864.385249999999</v>
      </c>
    </row>
    <row r="55" spans="2:22" ht="16.5" thickBot="1" x14ac:dyDescent="0.3">
      <c r="E55" s="375"/>
      <c r="F55" s="375"/>
      <c r="G55" s="261"/>
      <c r="H55" s="261"/>
      <c r="P55" s="376"/>
      <c r="Q55" s="376"/>
    </row>
    <row r="56" spans="2:22" ht="15" x14ac:dyDescent="0.25">
      <c r="E56" s="377" t="s">
        <v>177</v>
      </c>
      <c r="F56" s="377"/>
      <c r="G56" s="262"/>
      <c r="H56" s="262"/>
      <c r="P56" s="26"/>
      <c r="Q56" s="26"/>
      <c r="R56" s="378" t="s">
        <v>157</v>
      </c>
      <c r="S56" s="378"/>
      <c r="T56" s="261"/>
    </row>
    <row r="60" spans="2:22" x14ac:dyDescent="0.25">
      <c r="C60" t="s">
        <v>174</v>
      </c>
    </row>
  </sheetData>
  <mergeCells count="5">
    <mergeCell ref="B4:V4"/>
    <mergeCell ref="E55:F55"/>
    <mergeCell ref="P55:Q55"/>
    <mergeCell ref="E56:F56"/>
    <mergeCell ref="R56:S56"/>
  </mergeCells>
  <pageMargins left="0.51181102362204722" right="0.51181102362204722" top="0.15748031496062992" bottom="0.35433070866141736" header="0.31496062992125984" footer="0.31496062992125984"/>
  <pageSetup scale="37" fitToHeight="0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W61"/>
  <sheetViews>
    <sheetView topLeftCell="A8" zoomScale="70" zoomScaleNormal="70" workbookViewId="0">
      <selection activeCell="R44" sqref="R44"/>
    </sheetView>
  </sheetViews>
  <sheetFormatPr baseColWidth="10" defaultRowHeight="15.75" x14ac:dyDescent="0.25"/>
  <cols>
    <col min="1" max="1" width="0.7109375" customWidth="1"/>
    <col min="2" max="2" width="17.140625" customWidth="1"/>
    <col min="3" max="3" width="36.5703125" customWidth="1"/>
    <col min="4" max="4" width="28" customWidth="1"/>
    <col min="5" max="5" width="18.42578125" customWidth="1"/>
    <col min="6" max="6" width="12.7109375" customWidth="1"/>
    <col min="7" max="7" width="12.28515625" customWidth="1"/>
    <col min="8" max="8" width="14.140625" customWidth="1"/>
    <col min="9" max="9" width="13.85546875" customWidth="1"/>
    <col min="10" max="10" width="11.42578125" customWidth="1"/>
    <col min="11" max="11" width="15.85546875" bestFit="1" customWidth="1"/>
    <col min="12" max="12" width="9.42578125" customWidth="1"/>
    <col min="13" max="13" width="14.42578125" customWidth="1"/>
    <col min="14" max="14" width="14.42578125" bestFit="1" customWidth="1"/>
    <col min="15" max="15" width="11.42578125" hidden="1" customWidth="1"/>
    <col min="16" max="16" width="12.85546875" customWidth="1"/>
    <col min="17" max="17" width="16.5703125" customWidth="1"/>
    <col min="18" max="18" width="18.28515625" style="133" customWidth="1"/>
    <col min="19" max="20" width="16.140625" customWidth="1"/>
    <col min="21" max="21" width="14.85546875" customWidth="1"/>
    <col min="22" max="22" width="17" customWidth="1"/>
  </cols>
  <sheetData>
    <row r="3" spans="2:23" x14ac:dyDescent="0.25"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29"/>
    </row>
    <row r="4" spans="2:23" ht="16.5" customHeight="1" x14ac:dyDescent="0.25">
      <c r="B4" s="380" t="s">
        <v>219</v>
      </c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</row>
    <row r="5" spans="2:23" s="56" customFormat="1" ht="56.25" x14ac:dyDescent="0.25">
      <c r="B5" s="120" t="s">
        <v>9</v>
      </c>
      <c r="C5" s="119" t="s">
        <v>10</v>
      </c>
      <c r="D5" s="103" t="s">
        <v>0</v>
      </c>
      <c r="E5" s="61" t="s">
        <v>11</v>
      </c>
      <c r="F5" s="100" t="s">
        <v>150</v>
      </c>
      <c r="G5" s="117" t="s">
        <v>180</v>
      </c>
      <c r="H5" s="118" t="s">
        <v>182</v>
      </c>
      <c r="I5" s="97" t="s">
        <v>169</v>
      </c>
      <c r="J5" s="103" t="s">
        <v>170</v>
      </c>
      <c r="K5" s="103" t="s">
        <v>12</v>
      </c>
      <c r="L5" s="99" t="s">
        <v>107</v>
      </c>
      <c r="M5" s="100" t="s">
        <v>143</v>
      </c>
      <c r="N5" s="100" t="s">
        <v>13</v>
      </c>
      <c r="O5" s="101" t="s">
        <v>171</v>
      </c>
      <c r="P5" s="116" t="s">
        <v>16</v>
      </c>
      <c r="Q5" s="115" t="s">
        <v>17</v>
      </c>
      <c r="R5" s="130" t="s">
        <v>72</v>
      </c>
      <c r="S5" s="99" t="s">
        <v>8</v>
      </c>
      <c r="T5" s="99" t="s">
        <v>218</v>
      </c>
      <c r="U5" s="123" t="s">
        <v>18</v>
      </c>
      <c r="V5" s="123" t="s">
        <v>73</v>
      </c>
      <c r="W5" s="102"/>
    </row>
    <row r="6" spans="2:23" x14ac:dyDescent="0.25">
      <c r="B6" s="107" t="s">
        <v>19</v>
      </c>
      <c r="C6" s="121" t="s">
        <v>20</v>
      </c>
      <c r="D6" s="121"/>
      <c r="E6" s="95"/>
      <c r="F6" s="15"/>
      <c r="G6" s="114"/>
      <c r="H6" s="15"/>
      <c r="I6" s="95"/>
      <c r="J6" s="95"/>
      <c r="K6" s="95"/>
      <c r="L6" s="15"/>
      <c r="M6" s="15"/>
      <c r="N6" s="15"/>
      <c r="O6" s="95"/>
      <c r="P6" s="15"/>
      <c r="Q6" s="95"/>
      <c r="R6" s="129"/>
    </row>
    <row r="7" spans="2:23" ht="18.75" x14ac:dyDescent="0.3">
      <c r="B7" t="s">
        <v>21</v>
      </c>
      <c r="C7" s="269" t="s">
        <v>22</v>
      </c>
      <c r="D7" t="s">
        <v>25</v>
      </c>
      <c r="E7" s="15">
        <v>16954.95</v>
      </c>
      <c r="F7" s="29">
        <v>15</v>
      </c>
      <c r="G7" s="73">
        <v>2700</v>
      </c>
      <c r="H7" s="15"/>
      <c r="I7" s="15"/>
      <c r="J7" s="15"/>
      <c r="K7" s="15">
        <f>E7-I7</f>
        <v>16954.95</v>
      </c>
      <c r="L7" s="15">
        <v>0</v>
      </c>
      <c r="M7" s="15">
        <v>3246.93</v>
      </c>
      <c r="N7" s="15">
        <f>M7-L7</f>
        <v>3246.93</v>
      </c>
      <c r="O7" s="15">
        <v>0</v>
      </c>
      <c r="P7" s="20">
        <f>E7*0.115</f>
        <v>1949.8192500000002</v>
      </c>
      <c r="Q7" s="15">
        <f>SUM(N7:P7)+G7</f>
        <v>7896.7492499999998</v>
      </c>
      <c r="R7" s="271">
        <f>K7-Q7</f>
        <v>9058.20075</v>
      </c>
      <c r="S7" s="11">
        <v>328.67</v>
      </c>
      <c r="T7" s="263">
        <f>+E7*17.5%+508.65</f>
        <v>3475.7662500000001</v>
      </c>
      <c r="U7" s="263">
        <f>+E7*2%</f>
        <v>339.09900000000005</v>
      </c>
      <c r="V7" s="35">
        <f>SUM(S7:U7)</f>
        <v>4143.5352499999999</v>
      </c>
    </row>
    <row r="8" spans="2:23" ht="18.75" x14ac:dyDescent="0.3">
      <c r="B8" t="s">
        <v>23</v>
      </c>
      <c r="C8" s="269" t="s">
        <v>24</v>
      </c>
      <c r="D8" t="s">
        <v>3</v>
      </c>
      <c r="E8" s="15">
        <v>4850</v>
      </c>
      <c r="F8" s="29">
        <v>15</v>
      </c>
      <c r="G8" s="73">
        <v>809</v>
      </c>
      <c r="H8" s="15"/>
      <c r="I8" s="15"/>
      <c r="J8" s="15"/>
      <c r="K8" s="15">
        <f>E8-I8</f>
        <v>4850</v>
      </c>
      <c r="L8" s="15">
        <v>0</v>
      </c>
      <c r="M8" s="15">
        <v>491.69</v>
      </c>
      <c r="N8" s="15">
        <f>M8-L8</f>
        <v>491.69</v>
      </c>
      <c r="O8" s="15">
        <v>0</v>
      </c>
      <c r="P8" s="20">
        <f>E8*0.115</f>
        <v>557.75</v>
      </c>
      <c r="Q8" s="15">
        <f>SUM(N8:P8)+G8</f>
        <v>1858.44</v>
      </c>
      <c r="R8" s="271">
        <f>K8-Q8</f>
        <v>2991.56</v>
      </c>
      <c r="S8" s="11">
        <v>253.58</v>
      </c>
      <c r="T8" s="263">
        <f>+E8*17.5%+145.5</f>
        <v>994.25</v>
      </c>
      <c r="U8" s="263">
        <f>+E8*2%</f>
        <v>97</v>
      </c>
      <c r="V8" s="35">
        <f>SUM(S8:U8)</f>
        <v>1344.83</v>
      </c>
    </row>
    <row r="9" spans="2:23" ht="18.75" x14ac:dyDescent="0.3">
      <c r="B9" s="7" t="s">
        <v>26</v>
      </c>
      <c r="C9" s="270"/>
      <c r="D9" s="30"/>
      <c r="E9" s="34">
        <f>SUM(E7:E8)</f>
        <v>21804.95</v>
      </c>
      <c r="F9" s="34"/>
      <c r="G9" s="34">
        <f>+G8+G7</f>
        <v>3509</v>
      </c>
      <c r="H9" s="34"/>
      <c r="I9" s="34">
        <f t="shared" ref="I9:V9" si="0">SUM(I7:I8)</f>
        <v>0</v>
      </c>
      <c r="J9" s="34">
        <f t="shared" si="0"/>
        <v>0</v>
      </c>
      <c r="K9" s="34">
        <f t="shared" si="0"/>
        <v>21804.95</v>
      </c>
      <c r="L9" s="34">
        <f t="shared" si="0"/>
        <v>0</v>
      </c>
      <c r="M9" s="34">
        <f t="shared" si="0"/>
        <v>3738.62</v>
      </c>
      <c r="N9" s="34">
        <f t="shared" si="0"/>
        <v>3738.62</v>
      </c>
      <c r="O9" s="34">
        <f t="shared" si="0"/>
        <v>0</v>
      </c>
      <c r="P9" s="34">
        <f>SUM(P7:P8)</f>
        <v>2507.5692500000005</v>
      </c>
      <c r="Q9" s="34">
        <f t="shared" si="0"/>
        <v>9755.1892499999994</v>
      </c>
      <c r="R9" s="264">
        <f>SUM(R7:R8)</f>
        <v>12049.760749999999</v>
      </c>
      <c r="S9" s="34">
        <f t="shared" si="0"/>
        <v>582.25</v>
      </c>
      <c r="T9" s="34">
        <f t="shared" si="0"/>
        <v>4470.0162500000006</v>
      </c>
      <c r="U9" s="34">
        <f t="shared" si="0"/>
        <v>436.09900000000005</v>
      </c>
      <c r="V9" s="34">
        <f t="shared" si="0"/>
        <v>5488.3652499999998</v>
      </c>
    </row>
    <row r="10" spans="2:23" ht="10.5" hidden="1" customHeight="1" x14ac:dyDescent="0.3">
      <c r="C10" s="133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265"/>
    </row>
    <row r="11" spans="2:23" ht="18.75" x14ac:dyDescent="0.3">
      <c r="B11" s="2" t="s">
        <v>27</v>
      </c>
      <c r="C11" s="270" t="s">
        <v>28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265"/>
    </row>
    <row r="12" spans="2:23" ht="18.75" x14ac:dyDescent="0.3">
      <c r="B12" t="s">
        <v>32</v>
      </c>
      <c r="C12" s="269" t="s">
        <v>37</v>
      </c>
      <c r="D12" t="s">
        <v>1</v>
      </c>
      <c r="E12" s="15">
        <v>10000</v>
      </c>
      <c r="F12" s="29">
        <v>15</v>
      </c>
      <c r="G12" s="73">
        <v>3334</v>
      </c>
      <c r="H12" s="15"/>
      <c r="I12" s="15"/>
      <c r="J12" s="15"/>
      <c r="K12" s="15">
        <f t="shared" ref="K12:K18" si="1">E12-I12</f>
        <v>10000</v>
      </c>
      <c r="L12" s="15">
        <v>0</v>
      </c>
      <c r="M12" s="15">
        <v>1581.44</v>
      </c>
      <c r="N12" s="15">
        <f>M12-L12</f>
        <v>1581.44</v>
      </c>
      <c r="O12" s="15">
        <v>0</v>
      </c>
      <c r="P12" s="15">
        <f t="shared" ref="P12:P19" si="2">E12*0.115</f>
        <v>1150</v>
      </c>
      <c r="Q12" s="15">
        <f>SUM(N12:P12)+G12</f>
        <v>6065.4400000000005</v>
      </c>
      <c r="R12" s="271">
        <f t="shared" ref="R12:R19" si="3">K12-Q12</f>
        <v>3934.5599999999995</v>
      </c>
      <c r="S12" s="11">
        <v>285.52999999999997</v>
      </c>
      <c r="T12" s="263">
        <f>+E12*17.5%+300</f>
        <v>2050</v>
      </c>
      <c r="U12" s="263">
        <f>+E12*2%</f>
        <v>200</v>
      </c>
      <c r="V12" s="35">
        <f t="shared" ref="V12:V19" si="4">SUM(S12:U12)</f>
        <v>2535.5299999999997</v>
      </c>
    </row>
    <row r="13" spans="2:23" ht="18.75" x14ac:dyDescent="0.3">
      <c r="B13" t="s">
        <v>33</v>
      </c>
      <c r="C13" s="269" t="s">
        <v>38</v>
      </c>
      <c r="D13" t="s">
        <v>74</v>
      </c>
      <c r="E13" s="15">
        <v>5350</v>
      </c>
      <c r="F13" s="29">
        <v>15</v>
      </c>
      <c r="G13" s="15"/>
      <c r="H13" s="15"/>
      <c r="I13" s="77"/>
      <c r="J13" s="19"/>
      <c r="K13" s="15">
        <f>E13-I13</f>
        <v>5350</v>
      </c>
      <c r="L13" s="15">
        <v>0</v>
      </c>
      <c r="M13" s="15">
        <v>586.75</v>
      </c>
      <c r="N13" s="15">
        <v>588.20000000000005</v>
      </c>
      <c r="O13" s="15">
        <v>0</v>
      </c>
      <c r="P13" s="15">
        <f t="shared" si="2"/>
        <v>615.25</v>
      </c>
      <c r="Q13" s="15">
        <f t="shared" ref="Q13:Q19" si="5">SUM(N13:P13)+G13</f>
        <v>1203.45</v>
      </c>
      <c r="R13" s="271">
        <f t="shared" si="3"/>
        <v>4146.55</v>
      </c>
      <c r="S13" s="11">
        <v>256.68</v>
      </c>
      <c r="T13" s="263">
        <f>+E13*17.5%+160.5</f>
        <v>1096.75</v>
      </c>
      <c r="U13" s="263">
        <f>+E13*2%</f>
        <v>107</v>
      </c>
      <c r="V13" s="35">
        <f t="shared" si="4"/>
        <v>1460.43</v>
      </c>
    </row>
    <row r="14" spans="2:23" ht="18.75" x14ac:dyDescent="0.3">
      <c r="B14" t="s">
        <v>34</v>
      </c>
      <c r="C14" s="269" t="s">
        <v>178</v>
      </c>
      <c r="D14" t="s">
        <v>179</v>
      </c>
      <c r="E14" s="15">
        <v>5350</v>
      </c>
      <c r="F14" s="29">
        <v>15</v>
      </c>
      <c r="G14" s="15"/>
      <c r="H14" s="20"/>
      <c r="I14" s="19"/>
      <c r="J14" s="19"/>
      <c r="K14" s="15">
        <f>+E14+H14</f>
        <v>5350</v>
      </c>
      <c r="L14" s="15">
        <v>0</v>
      </c>
      <c r="M14" s="15">
        <v>588.20000000000005</v>
      </c>
      <c r="N14" s="15">
        <v>588.20000000000005</v>
      </c>
      <c r="O14" s="15">
        <v>0</v>
      </c>
      <c r="P14" s="113">
        <v>615.25</v>
      </c>
      <c r="Q14" s="15">
        <f>SUM(N14:P14)+G14</f>
        <v>1203.45</v>
      </c>
      <c r="R14" s="271">
        <f>K14-Q14</f>
        <v>4146.55</v>
      </c>
      <c r="S14" s="11">
        <v>256.68</v>
      </c>
      <c r="T14" s="263">
        <f>+E14*17.5%+160.5</f>
        <v>1096.75</v>
      </c>
      <c r="U14" s="263">
        <f t="shared" ref="U14:U19" si="6">+E14*2%</f>
        <v>107</v>
      </c>
      <c r="V14" s="35">
        <f t="shared" si="4"/>
        <v>1460.43</v>
      </c>
    </row>
    <row r="15" spans="2:23" ht="18.75" x14ac:dyDescent="0.3">
      <c r="B15" t="s">
        <v>35</v>
      </c>
      <c r="C15" s="133" t="s">
        <v>111</v>
      </c>
      <c r="D15" t="s">
        <v>77</v>
      </c>
      <c r="E15" s="15">
        <v>6000</v>
      </c>
      <c r="F15" s="29">
        <v>15</v>
      </c>
      <c r="G15" s="15"/>
      <c r="H15" s="15"/>
      <c r="I15" s="15"/>
      <c r="J15" s="15"/>
      <c r="K15" s="15">
        <f t="shared" si="1"/>
        <v>6000</v>
      </c>
      <c r="L15" s="15">
        <v>0</v>
      </c>
      <c r="M15" s="15">
        <v>727.04</v>
      </c>
      <c r="N15" s="15">
        <f t="shared" ref="N15:N19" si="7">M15-L15</f>
        <v>727.04</v>
      </c>
      <c r="O15" s="15">
        <v>0</v>
      </c>
      <c r="P15" s="15">
        <f>E15*0.115</f>
        <v>690</v>
      </c>
      <c r="Q15" s="15">
        <f t="shared" si="5"/>
        <v>1417.04</v>
      </c>
      <c r="R15" s="271">
        <f t="shared" si="3"/>
        <v>4582.96</v>
      </c>
      <c r="S15" s="11">
        <v>260.72000000000003</v>
      </c>
      <c r="T15" s="263">
        <f>+E15*17.5%+180</f>
        <v>1230</v>
      </c>
      <c r="U15" s="263">
        <f t="shared" si="6"/>
        <v>120</v>
      </c>
      <c r="V15" s="35">
        <f t="shared" si="4"/>
        <v>1610.72</v>
      </c>
    </row>
    <row r="16" spans="2:23" ht="18.75" x14ac:dyDescent="0.3">
      <c r="B16" t="s">
        <v>36</v>
      </c>
      <c r="C16" s="133" t="s">
        <v>86</v>
      </c>
      <c r="D16" t="s">
        <v>39</v>
      </c>
      <c r="E16" s="15">
        <v>4500</v>
      </c>
      <c r="F16" s="29">
        <v>15</v>
      </c>
      <c r="G16" s="73">
        <v>750</v>
      </c>
      <c r="H16" s="15"/>
      <c r="I16" s="15"/>
      <c r="J16" s="15"/>
      <c r="K16" s="15">
        <f t="shared" si="1"/>
        <v>4500</v>
      </c>
      <c r="L16" s="15">
        <v>0</v>
      </c>
      <c r="M16" s="15">
        <v>428.97</v>
      </c>
      <c r="N16" s="15">
        <f t="shared" si="7"/>
        <v>428.97</v>
      </c>
      <c r="O16" s="15">
        <v>0</v>
      </c>
      <c r="P16" s="15">
        <f t="shared" si="2"/>
        <v>517.5</v>
      </c>
      <c r="Q16" s="15">
        <f t="shared" si="5"/>
        <v>1696.47</v>
      </c>
      <c r="R16" s="271">
        <f t="shared" si="3"/>
        <v>2803.5299999999997</v>
      </c>
      <c r="S16" s="11">
        <v>251.41</v>
      </c>
      <c r="T16" s="263">
        <f>+E16*17.5%+135</f>
        <v>922.5</v>
      </c>
      <c r="U16" s="263">
        <f t="shared" si="6"/>
        <v>90</v>
      </c>
      <c r="V16" s="35">
        <f t="shared" si="4"/>
        <v>1263.9100000000001</v>
      </c>
    </row>
    <row r="17" spans="2:22" ht="18.75" x14ac:dyDescent="0.3">
      <c r="B17" t="s">
        <v>115</v>
      </c>
      <c r="C17" s="133" t="s">
        <v>87</v>
      </c>
      <c r="D17" t="s">
        <v>39</v>
      </c>
      <c r="E17" s="15">
        <v>4500</v>
      </c>
      <c r="F17" s="29">
        <v>15</v>
      </c>
      <c r="G17" s="73">
        <v>797</v>
      </c>
      <c r="H17" s="15"/>
      <c r="I17" s="15"/>
      <c r="J17" s="15"/>
      <c r="K17" s="15">
        <f t="shared" si="1"/>
        <v>4500</v>
      </c>
      <c r="L17" s="15">
        <v>0</v>
      </c>
      <c r="M17" s="15">
        <v>428.97</v>
      </c>
      <c r="N17" s="15">
        <v>428.97</v>
      </c>
      <c r="O17" s="15">
        <v>0</v>
      </c>
      <c r="P17" s="15">
        <f t="shared" si="2"/>
        <v>517.5</v>
      </c>
      <c r="Q17" s="15">
        <f t="shared" si="5"/>
        <v>1743.47</v>
      </c>
      <c r="R17" s="271">
        <f t="shared" si="3"/>
        <v>2756.5299999999997</v>
      </c>
      <c r="S17" s="11">
        <v>251.41</v>
      </c>
      <c r="T17" s="263">
        <f>+E17*17.5%+135</f>
        <v>922.5</v>
      </c>
      <c r="U17" s="263">
        <f t="shared" si="6"/>
        <v>90</v>
      </c>
      <c r="V17" s="35">
        <f t="shared" si="4"/>
        <v>1263.9100000000001</v>
      </c>
    </row>
    <row r="18" spans="2:22" ht="18.75" x14ac:dyDescent="0.3">
      <c r="B18" t="s">
        <v>116</v>
      </c>
      <c r="C18" s="133" t="s">
        <v>89</v>
      </c>
      <c r="D18" t="s">
        <v>4</v>
      </c>
      <c r="E18" s="15">
        <v>2700</v>
      </c>
      <c r="F18" s="29">
        <v>15</v>
      </c>
      <c r="G18" s="73">
        <v>450</v>
      </c>
      <c r="H18" s="15"/>
      <c r="I18" s="15"/>
      <c r="J18" s="15"/>
      <c r="K18" s="15">
        <f t="shared" si="1"/>
        <v>2700</v>
      </c>
      <c r="L18" s="15">
        <v>147.32</v>
      </c>
      <c r="M18" s="15">
        <v>188.33</v>
      </c>
      <c r="N18" s="15">
        <f t="shared" si="7"/>
        <v>41.010000000000019</v>
      </c>
      <c r="O18" s="15">
        <v>0</v>
      </c>
      <c r="P18" s="20">
        <f t="shared" si="2"/>
        <v>310.5</v>
      </c>
      <c r="Q18" s="15">
        <f t="shared" si="5"/>
        <v>801.51</v>
      </c>
      <c r="R18" s="271">
        <f t="shared" si="3"/>
        <v>1898.49</v>
      </c>
      <c r="S18" s="11">
        <v>240.25</v>
      </c>
      <c r="T18" s="263">
        <f>+E18*17.5%+81</f>
        <v>553.5</v>
      </c>
      <c r="U18" s="263">
        <f t="shared" si="6"/>
        <v>54</v>
      </c>
      <c r="V18" s="35">
        <f t="shared" si="4"/>
        <v>847.75</v>
      </c>
    </row>
    <row r="19" spans="2:22" ht="18.75" x14ac:dyDescent="0.3">
      <c r="B19" t="s">
        <v>117</v>
      </c>
      <c r="C19" s="133" t="s">
        <v>88</v>
      </c>
      <c r="D19" t="s">
        <v>40</v>
      </c>
      <c r="E19" s="15">
        <v>3150</v>
      </c>
      <c r="F19" s="29">
        <v>15</v>
      </c>
      <c r="G19" s="73">
        <v>525</v>
      </c>
      <c r="H19" s="15"/>
      <c r="I19" s="15"/>
      <c r="J19" s="15"/>
      <c r="K19" s="15">
        <f>E19-I19</f>
        <v>3150</v>
      </c>
      <c r="L19" s="15">
        <v>126.77</v>
      </c>
      <c r="M19" s="15">
        <v>237.29</v>
      </c>
      <c r="N19" s="15">
        <f t="shared" si="7"/>
        <v>110.52</v>
      </c>
      <c r="O19" s="15">
        <v>0</v>
      </c>
      <c r="P19" s="20">
        <f t="shared" si="2"/>
        <v>362.25</v>
      </c>
      <c r="Q19" s="15">
        <f t="shared" si="5"/>
        <v>997.77</v>
      </c>
      <c r="R19" s="271">
        <f t="shared" si="3"/>
        <v>2152.23</v>
      </c>
      <c r="S19" s="11">
        <v>243.04</v>
      </c>
      <c r="T19" s="263">
        <f>+E19*17.5%+94.5</f>
        <v>645.75</v>
      </c>
      <c r="U19" s="263">
        <f t="shared" si="6"/>
        <v>63</v>
      </c>
      <c r="V19" s="35">
        <f t="shared" si="4"/>
        <v>951.79</v>
      </c>
    </row>
    <row r="20" spans="2:22" ht="18.75" x14ac:dyDescent="0.3">
      <c r="B20" s="2" t="s">
        <v>26</v>
      </c>
      <c r="C20" s="270"/>
      <c r="D20" s="30"/>
      <c r="E20" s="34">
        <f>SUM(E12:E19)</f>
        <v>41550</v>
      </c>
      <c r="F20" s="34"/>
      <c r="G20" s="34">
        <f>+G19+G18+G17+G16+G12</f>
        <v>5856</v>
      </c>
      <c r="H20" s="34"/>
      <c r="I20" s="34">
        <f t="shared" ref="I20:V20" si="8">SUM(I12:I19)</f>
        <v>0</v>
      </c>
      <c r="J20" s="34">
        <f t="shared" si="8"/>
        <v>0</v>
      </c>
      <c r="K20" s="34">
        <f t="shared" si="8"/>
        <v>41550</v>
      </c>
      <c r="L20" s="34">
        <f t="shared" si="8"/>
        <v>274.08999999999997</v>
      </c>
      <c r="M20" s="34">
        <f t="shared" si="8"/>
        <v>4766.9900000000007</v>
      </c>
      <c r="N20" s="34">
        <f t="shared" si="8"/>
        <v>4494.3500000000013</v>
      </c>
      <c r="O20" s="34">
        <f t="shared" si="8"/>
        <v>0</v>
      </c>
      <c r="P20" s="34">
        <f>SUM(P12:P19)</f>
        <v>4778.25</v>
      </c>
      <c r="Q20" s="34">
        <f t="shared" si="8"/>
        <v>15128.6</v>
      </c>
      <c r="R20" s="264">
        <f>SUM(R12:R19)</f>
        <v>26421.399999999998</v>
      </c>
      <c r="S20" s="34">
        <f t="shared" si="8"/>
        <v>2045.7200000000003</v>
      </c>
      <c r="T20" s="34">
        <f t="shared" si="8"/>
        <v>8517.75</v>
      </c>
      <c r="U20" s="34">
        <f t="shared" si="8"/>
        <v>831</v>
      </c>
      <c r="V20" s="34">
        <f t="shared" si="8"/>
        <v>11394.470000000001</v>
      </c>
    </row>
    <row r="21" spans="2:22" ht="18.75" hidden="1" x14ac:dyDescent="0.3">
      <c r="B21" s="2"/>
      <c r="C21" s="133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265"/>
    </row>
    <row r="22" spans="2:22" ht="18.75" x14ac:dyDescent="0.3">
      <c r="B22" s="2" t="s">
        <v>50</v>
      </c>
      <c r="C22" s="270" t="s">
        <v>160</v>
      </c>
      <c r="E22" s="15"/>
      <c r="F22" s="15"/>
      <c r="G22" s="15"/>
      <c r="H22" s="15"/>
      <c r="I22" s="15"/>
      <c r="J22" s="15"/>
      <c r="K22" s="113"/>
      <c r="L22" s="113"/>
      <c r="M22" s="15"/>
      <c r="N22" s="15"/>
      <c r="O22" s="15"/>
      <c r="P22" s="15"/>
      <c r="Q22" s="15"/>
      <c r="R22" s="265"/>
    </row>
    <row r="23" spans="2:22" ht="18.75" x14ac:dyDescent="0.3">
      <c r="B23" t="s">
        <v>119</v>
      </c>
      <c r="C23" s="133"/>
      <c r="D23" t="s">
        <v>76</v>
      </c>
      <c r="E23" s="15">
        <v>0</v>
      </c>
      <c r="F23" s="29">
        <v>0</v>
      </c>
      <c r="G23" s="20"/>
      <c r="H23" s="15"/>
      <c r="I23" s="15"/>
      <c r="J23" s="15"/>
      <c r="K23" s="15">
        <f>E23-I23</f>
        <v>0</v>
      </c>
      <c r="L23" s="15">
        <v>0</v>
      </c>
      <c r="M23" s="15">
        <v>0</v>
      </c>
      <c r="N23" s="15">
        <v>0</v>
      </c>
      <c r="O23" s="15">
        <v>0</v>
      </c>
      <c r="P23" s="20">
        <f>E23*0.115</f>
        <v>0</v>
      </c>
      <c r="Q23" s="15">
        <f>SUM(N23:P23)+G23</f>
        <v>0</v>
      </c>
      <c r="R23" s="266">
        <f>K23-Q23</f>
        <v>0</v>
      </c>
      <c r="S23" s="11">
        <v>0</v>
      </c>
      <c r="T23" s="263">
        <f t="shared" ref="T23" si="9">+E23*17.5%</f>
        <v>0</v>
      </c>
      <c r="U23" s="263">
        <f t="shared" ref="U23:U25" si="10">+E23*2%</f>
        <v>0</v>
      </c>
      <c r="V23" s="35">
        <f t="shared" ref="V23" si="11">SUM(S23:U23)</f>
        <v>0</v>
      </c>
    </row>
    <row r="24" spans="2:22" ht="18.75" x14ac:dyDescent="0.3">
      <c r="B24" t="s">
        <v>120</v>
      </c>
      <c r="C24" s="133" t="s">
        <v>93</v>
      </c>
      <c r="D24" t="s">
        <v>78</v>
      </c>
      <c r="E24" s="15">
        <v>5350</v>
      </c>
      <c r="F24" s="29">
        <v>15</v>
      </c>
      <c r="G24" s="73">
        <v>1115</v>
      </c>
      <c r="H24" s="15"/>
      <c r="I24" s="71"/>
      <c r="J24" s="15"/>
      <c r="K24" s="15">
        <f>E24-I24</f>
        <v>5350</v>
      </c>
      <c r="L24" s="15">
        <v>0</v>
      </c>
      <c r="M24" s="15">
        <v>588.20000000000005</v>
      </c>
      <c r="N24" s="15">
        <f>M24-L24</f>
        <v>588.20000000000005</v>
      </c>
      <c r="O24" s="15">
        <v>0</v>
      </c>
      <c r="P24" s="20">
        <f>E24*0.115</f>
        <v>615.25</v>
      </c>
      <c r="Q24" s="15">
        <f>SUM(N24:P24)+G24</f>
        <v>2318.4499999999998</v>
      </c>
      <c r="R24" s="271">
        <f>K24-Q24</f>
        <v>3031.55</v>
      </c>
      <c r="S24" s="11">
        <v>256.68</v>
      </c>
      <c r="T24" s="263">
        <f>+E24*17.5%+160.5</f>
        <v>1096.75</v>
      </c>
      <c r="U24" s="263">
        <f t="shared" si="10"/>
        <v>107</v>
      </c>
      <c r="V24" s="35">
        <f>SUM(S24:U24)</f>
        <v>1460.43</v>
      </c>
    </row>
    <row r="25" spans="2:22" ht="18.75" x14ac:dyDescent="0.3">
      <c r="B25" t="s">
        <v>121</v>
      </c>
      <c r="C25" s="133" t="s">
        <v>114</v>
      </c>
      <c r="D25" t="s">
        <v>186</v>
      </c>
      <c r="E25" s="15">
        <v>5350</v>
      </c>
      <c r="F25" s="29">
        <v>15</v>
      </c>
      <c r="G25" s="15"/>
      <c r="H25" s="15"/>
      <c r="I25" s="71"/>
      <c r="J25" s="15"/>
      <c r="K25" s="15">
        <f>E25-I25</f>
        <v>5350</v>
      </c>
      <c r="L25" s="15">
        <v>0</v>
      </c>
      <c r="M25" s="15">
        <v>588.20000000000005</v>
      </c>
      <c r="N25" s="15">
        <f>M25-L25</f>
        <v>588.20000000000005</v>
      </c>
      <c r="O25" s="15">
        <v>0</v>
      </c>
      <c r="P25" s="20">
        <f>E25*0.115</f>
        <v>615.25</v>
      </c>
      <c r="Q25" s="15">
        <f>SUM(N25:P25)+G25</f>
        <v>1203.45</v>
      </c>
      <c r="R25" s="271">
        <f>K25-Q25</f>
        <v>4146.55</v>
      </c>
      <c r="S25" s="11">
        <v>256.68</v>
      </c>
      <c r="T25" s="263">
        <f>+E25*17.5%+160.5</f>
        <v>1096.75</v>
      </c>
      <c r="U25" s="263">
        <f t="shared" si="10"/>
        <v>107</v>
      </c>
      <c r="V25" s="35">
        <f>SUM(S25:U25)</f>
        <v>1460.43</v>
      </c>
    </row>
    <row r="26" spans="2:22" ht="18.75" x14ac:dyDescent="0.3">
      <c r="B26" s="2" t="s">
        <v>26</v>
      </c>
      <c r="C26" s="270"/>
      <c r="D26" s="30"/>
      <c r="E26" s="34">
        <f>SUM(E23:E25)</f>
        <v>10700</v>
      </c>
      <c r="F26" s="34"/>
      <c r="G26" s="34">
        <f>+G25+G24+G23</f>
        <v>1115</v>
      </c>
      <c r="H26" s="34"/>
      <c r="I26" s="34">
        <f>SUM(I23:I25)</f>
        <v>0</v>
      </c>
      <c r="J26" s="34">
        <f>SUM(J23:J25)</f>
        <v>0</v>
      </c>
      <c r="K26" s="34">
        <f t="shared" ref="K26:V26" si="12">SUM(K23:K25)</f>
        <v>10700</v>
      </c>
      <c r="L26" s="34">
        <f t="shared" si="12"/>
        <v>0</v>
      </c>
      <c r="M26" s="34">
        <f t="shared" si="12"/>
        <v>1176.4000000000001</v>
      </c>
      <c r="N26" s="34">
        <f t="shared" si="12"/>
        <v>1176.4000000000001</v>
      </c>
      <c r="O26" s="34">
        <f t="shared" si="12"/>
        <v>0</v>
      </c>
      <c r="P26" s="34">
        <f>SUM(P23:P25)</f>
        <v>1230.5</v>
      </c>
      <c r="Q26" s="34">
        <f t="shared" si="12"/>
        <v>3521.8999999999996</v>
      </c>
      <c r="R26" s="264">
        <f>SUM(R23:R25)</f>
        <v>7178.1</v>
      </c>
      <c r="S26" s="34">
        <f t="shared" si="12"/>
        <v>513.36</v>
      </c>
      <c r="T26" s="34">
        <f t="shared" si="12"/>
        <v>2193.5</v>
      </c>
      <c r="U26" s="34">
        <f t="shared" si="12"/>
        <v>214</v>
      </c>
      <c r="V26" s="34">
        <f t="shared" si="12"/>
        <v>2920.86</v>
      </c>
    </row>
    <row r="27" spans="2:22" ht="18.75" hidden="1" x14ac:dyDescent="0.3">
      <c r="C27" s="133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265"/>
    </row>
    <row r="28" spans="2:22" ht="18.75" x14ac:dyDescent="0.3">
      <c r="B28" s="2" t="s">
        <v>63</v>
      </c>
      <c r="C28" s="270" t="s">
        <v>51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265"/>
    </row>
    <row r="29" spans="2:22" ht="18.75" x14ac:dyDescent="0.3">
      <c r="B29" t="s">
        <v>122</v>
      </c>
      <c r="C29" s="133" t="s">
        <v>97</v>
      </c>
      <c r="D29" t="s">
        <v>80</v>
      </c>
      <c r="E29" s="15">
        <v>5350</v>
      </c>
      <c r="F29" s="29">
        <v>15</v>
      </c>
      <c r="G29" s="15"/>
      <c r="H29" s="15"/>
      <c r="I29" s="71"/>
      <c r="J29" s="15"/>
      <c r="K29" s="15">
        <f t="shared" ref="K29:K39" si="13">E29-I29</f>
        <v>5350</v>
      </c>
      <c r="L29" s="15">
        <v>0</v>
      </c>
      <c r="M29" s="15">
        <v>588.20000000000005</v>
      </c>
      <c r="N29" s="15">
        <f>M29-L29</f>
        <v>588.20000000000005</v>
      </c>
      <c r="O29" s="15">
        <v>0</v>
      </c>
      <c r="P29" s="20">
        <f>E29*0.115</f>
        <v>615.25</v>
      </c>
      <c r="Q29" s="15">
        <f t="shared" ref="Q29:Q39" si="14">SUM(N29:P29)+G29</f>
        <v>1203.45</v>
      </c>
      <c r="R29" s="271">
        <f t="shared" ref="R29:R39" si="15">K29-Q29</f>
        <v>4146.55</v>
      </c>
      <c r="S29" s="11">
        <v>256.68</v>
      </c>
      <c r="T29" s="263">
        <f t="shared" ref="T29:T39" si="16">+E29*17.5%+160.5</f>
        <v>1096.75</v>
      </c>
      <c r="U29" s="263">
        <f t="shared" ref="U29:U39" si="17">+E29*2%</f>
        <v>107</v>
      </c>
      <c r="V29" s="35">
        <f>SUM(S29:U29)</f>
        <v>1460.43</v>
      </c>
    </row>
    <row r="30" spans="2:22" ht="18.75" x14ac:dyDescent="0.3">
      <c r="B30" t="s">
        <v>123</v>
      </c>
      <c r="C30" s="133" t="s">
        <v>100</v>
      </c>
      <c r="D30" t="s">
        <v>80</v>
      </c>
      <c r="E30" s="15">
        <v>5350</v>
      </c>
      <c r="F30" s="29">
        <v>15</v>
      </c>
      <c r="G30" s="73">
        <v>904</v>
      </c>
      <c r="H30" s="15"/>
      <c r="I30" s="77"/>
      <c r="J30" s="20"/>
      <c r="K30" s="20">
        <f t="shared" si="13"/>
        <v>5350</v>
      </c>
      <c r="L30" s="20">
        <v>0</v>
      </c>
      <c r="M30" s="20">
        <v>588.20000000000005</v>
      </c>
      <c r="N30" s="20">
        <v>588.20000000000005</v>
      </c>
      <c r="O30" s="15">
        <v>0</v>
      </c>
      <c r="P30" s="20">
        <f t="shared" ref="P30:P39" si="18">E30*0.115</f>
        <v>615.25</v>
      </c>
      <c r="Q30" s="15">
        <f t="shared" si="14"/>
        <v>2107.4499999999998</v>
      </c>
      <c r="R30" s="271">
        <f t="shared" si="15"/>
        <v>3242.55</v>
      </c>
      <c r="S30" s="11">
        <v>256.68</v>
      </c>
      <c r="T30" s="263">
        <f t="shared" si="16"/>
        <v>1096.75</v>
      </c>
      <c r="U30" s="263">
        <f t="shared" si="17"/>
        <v>107</v>
      </c>
      <c r="V30" s="35">
        <f>SUM(S30:U30)</f>
        <v>1460.43</v>
      </c>
    </row>
    <row r="31" spans="2:22" ht="18.75" x14ac:dyDescent="0.3">
      <c r="B31" t="s">
        <v>124</v>
      </c>
      <c r="C31" s="133" t="s">
        <v>96</v>
      </c>
      <c r="D31" t="s">
        <v>78</v>
      </c>
      <c r="E31" s="15">
        <v>5350</v>
      </c>
      <c r="F31" s="29">
        <v>15</v>
      </c>
      <c r="G31" s="15"/>
      <c r="H31" s="15"/>
      <c r="I31" s="20"/>
      <c r="J31" s="20"/>
      <c r="K31" s="20">
        <f t="shared" si="13"/>
        <v>5350</v>
      </c>
      <c r="L31" s="20">
        <v>0</v>
      </c>
      <c r="M31" s="20">
        <v>588.20000000000005</v>
      </c>
      <c r="N31" s="20">
        <f t="shared" ref="N31:N39" si="19">M31-L31</f>
        <v>588.20000000000005</v>
      </c>
      <c r="O31" s="15">
        <v>0</v>
      </c>
      <c r="P31" s="20">
        <f t="shared" si="18"/>
        <v>615.25</v>
      </c>
      <c r="Q31" s="15">
        <f t="shared" si="14"/>
        <v>1203.45</v>
      </c>
      <c r="R31" s="271">
        <f t="shared" si="15"/>
        <v>4146.55</v>
      </c>
      <c r="S31" s="11">
        <v>256.68</v>
      </c>
      <c r="T31" s="263">
        <f t="shared" si="16"/>
        <v>1096.75</v>
      </c>
      <c r="U31" s="263">
        <f t="shared" si="17"/>
        <v>107</v>
      </c>
      <c r="V31" s="35">
        <f>SUM(S31:U31)</f>
        <v>1460.43</v>
      </c>
    </row>
    <row r="32" spans="2:22" ht="18.75" x14ac:dyDescent="0.3">
      <c r="B32" t="s">
        <v>125</v>
      </c>
      <c r="C32" s="133" t="s">
        <v>104</v>
      </c>
      <c r="D32" t="s">
        <v>78</v>
      </c>
      <c r="E32" s="15">
        <v>5350</v>
      </c>
      <c r="F32" s="29">
        <v>15</v>
      </c>
      <c r="G32" s="15"/>
      <c r="H32" s="15"/>
      <c r="I32" s="20"/>
      <c r="J32" s="20"/>
      <c r="K32" s="20">
        <f t="shared" si="13"/>
        <v>5350</v>
      </c>
      <c r="L32" s="20">
        <v>0</v>
      </c>
      <c r="M32" s="20">
        <v>588.20000000000005</v>
      </c>
      <c r="N32" s="20">
        <f t="shared" si="19"/>
        <v>588.20000000000005</v>
      </c>
      <c r="O32" s="15">
        <v>0</v>
      </c>
      <c r="P32" s="20">
        <f t="shared" si="18"/>
        <v>615.25</v>
      </c>
      <c r="Q32" s="15">
        <f t="shared" si="14"/>
        <v>1203.45</v>
      </c>
      <c r="R32" s="271">
        <f t="shared" si="15"/>
        <v>4146.55</v>
      </c>
      <c r="S32" s="11">
        <v>256.68</v>
      </c>
      <c r="T32" s="263">
        <f t="shared" si="16"/>
        <v>1096.75</v>
      </c>
      <c r="U32" s="263">
        <f t="shared" si="17"/>
        <v>107</v>
      </c>
      <c r="V32" s="35">
        <f t="shared" ref="V32:V39" si="20">SUM(S32:U32)</f>
        <v>1460.43</v>
      </c>
    </row>
    <row r="33" spans="2:22" ht="18.75" x14ac:dyDescent="0.3">
      <c r="B33" t="s">
        <v>126</v>
      </c>
      <c r="C33" s="133" t="s">
        <v>94</v>
      </c>
      <c r="D33" t="s">
        <v>81</v>
      </c>
      <c r="E33" s="15">
        <v>5350</v>
      </c>
      <c r="F33" s="29">
        <v>15</v>
      </c>
      <c r="G33" s="73">
        <v>595</v>
      </c>
      <c r="H33" s="15"/>
      <c r="I33" s="20"/>
      <c r="J33" s="20"/>
      <c r="K33" s="20">
        <f>E33-I33</f>
        <v>5350</v>
      </c>
      <c r="L33" s="20">
        <v>0</v>
      </c>
      <c r="M33" s="20">
        <v>588.20000000000005</v>
      </c>
      <c r="N33" s="20">
        <v>588.02</v>
      </c>
      <c r="O33" s="15">
        <v>0</v>
      </c>
      <c r="P33" s="20">
        <f t="shared" si="18"/>
        <v>615.25</v>
      </c>
      <c r="Q33" s="15">
        <f t="shared" si="14"/>
        <v>1798.27</v>
      </c>
      <c r="R33" s="271">
        <f>K33-Q33</f>
        <v>3551.73</v>
      </c>
      <c r="S33" s="11">
        <v>256.68</v>
      </c>
      <c r="T33" s="263">
        <f t="shared" si="16"/>
        <v>1096.75</v>
      </c>
      <c r="U33" s="263">
        <f t="shared" si="17"/>
        <v>107</v>
      </c>
      <c r="V33" s="35">
        <f t="shared" si="20"/>
        <v>1460.43</v>
      </c>
    </row>
    <row r="34" spans="2:22" ht="18.75" x14ac:dyDescent="0.3">
      <c r="B34" t="s">
        <v>127</v>
      </c>
      <c r="C34" s="133" t="s">
        <v>98</v>
      </c>
      <c r="D34" t="s">
        <v>81</v>
      </c>
      <c r="E34" s="15">
        <v>5350</v>
      </c>
      <c r="F34" s="29">
        <v>15</v>
      </c>
      <c r="G34" s="15"/>
      <c r="H34" s="20"/>
      <c r="I34" s="20"/>
      <c r="J34" s="20"/>
      <c r="K34" s="20">
        <f>E34-I34</f>
        <v>5350</v>
      </c>
      <c r="L34" s="20">
        <v>0</v>
      </c>
      <c r="M34" s="20">
        <v>588.20000000000005</v>
      </c>
      <c r="N34" s="20">
        <f t="shared" si="19"/>
        <v>588.20000000000005</v>
      </c>
      <c r="O34" s="15">
        <v>0</v>
      </c>
      <c r="P34" s="20">
        <f>E34*0.115</f>
        <v>615.25</v>
      </c>
      <c r="Q34" s="15">
        <f>SUM(N34:P34)+G34</f>
        <v>1203.45</v>
      </c>
      <c r="R34" s="271">
        <f>K34-Q34</f>
        <v>4146.55</v>
      </c>
      <c r="S34" s="11">
        <v>256.68</v>
      </c>
      <c r="T34" s="263">
        <f t="shared" si="16"/>
        <v>1096.75</v>
      </c>
      <c r="U34" s="263">
        <f t="shared" si="17"/>
        <v>107</v>
      </c>
      <c r="V34" s="35">
        <f t="shared" si="20"/>
        <v>1460.43</v>
      </c>
    </row>
    <row r="35" spans="2:22" ht="18.75" x14ac:dyDescent="0.3">
      <c r="B35" t="s">
        <v>128</v>
      </c>
      <c r="C35" s="133" t="s">
        <v>101</v>
      </c>
      <c r="D35" t="s">
        <v>81</v>
      </c>
      <c r="E35" s="15">
        <v>5350</v>
      </c>
      <c r="F35" s="29">
        <v>15</v>
      </c>
      <c r="G35" s="15"/>
      <c r="H35" s="15"/>
      <c r="I35" s="20"/>
      <c r="J35" s="20"/>
      <c r="K35" s="20">
        <f>E35-I35</f>
        <v>5350</v>
      </c>
      <c r="L35" s="20">
        <v>0</v>
      </c>
      <c r="M35" s="15">
        <v>588.20000000000005</v>
      </c>
      <c r="N35" s="15">
        <f>M35-L35</f>
        <v>588.20000000000005</v>
      </c>
      <c r="O35" s="15">
        <v>0</v>
      </c>
      <c r="P35" s="20">
        <f t="shared" si="18"/>
        <v>615.25</v>
      </c>
      <c r="Q35" s="15">
        <f>SUM(N35:P35)+G35</f>
        <v>1203.45</v>
      </c>
      <c r="R35" s="271">
        <f>K35-Q35</f>
        <v>4146.55</v>
      </c>
      <c r="S35" s="11">
        <v>256.68</v>
      </c>
      <c r="T35" s="263">
        <f t="shared" si="16"/>
        <v>1096.75</v>
      </c>
      <c r="U35" s="263">
        <f t="shared" si="17"/>
        <v>107</v>
      </c>
      <c r="V35" s="35">
        <f t="shared" si="20"/>
        <v>1460.43</v>
      </c>
    </row>
    <row r="36" spans="2:22" ht="18.75" x14ac:dyDescent="0.3">
      <c r="B36" t="s">
        <v>129</v>
      </c>
      <c r="C36" s="133" t="s">
        <v>95</v>
      </c>
      <c r="D36" t="s">
        <v>82</v>
      </c>
      <c r="E36" s="15">
        <v>5350</v>
      </c>
      <c r="F36" s="29">
        <v>15</v>
      </c>
      <c r="G36" s="73">
        <v>1190</v>
      </c>
      <c r="H36" s="15"/>
      <c r="I36" s="20"/>
      <c r="J36" s="15"/>
      <c r="K36" s="15">
        <f t="shared" si="13"/>
        <v>5350</v>
      </c>
      <c r="L36" s="15">
        <v>0</v>
      </c>
      <c r="M36" s="15">
        <v>588.20000000000005</v>
      </c>
      <c r="N36" s="15">
        <f t="shared" si="19"/>
        <v>588.20000000000005</v>
      </c>
      <c r="O36" s="15">
        <v>0</v>
      </c>
      <c r="P36" s="20">
        <f t="shared" si="18"/>
        <v>615.25</v>
      </c>
      <c r="Q36" s="15">
        <f t="shared" si="14"/>
        <v>2393.4499999999998</v>
      </c>
      <c r="R36" s="271">
        <f t="shared" si="15"/>
        <v>2956.55</v>
      </c>
      <c r="S36" s="11">
        <v>256.68</v>
      </c>
      <c r="T36" s="263">
        <f t="shared" si="16"/>
        <v>1096.75</v>
      </c>
      <c r="U36" s="263">
        <f t="shared" si="17"/>
        <v>107</v>
      </c>
      <c r="V36" s="35">
        <f t="shared" si="20"/>
        <v>1460.43</v>
      </c>
    </row>
    <row r="37" spans="2:22" ht="18.75" x14ac:dyDescent="0.3">
      <c r="B37" t="s">
        <v>130</v>
      </c>
      <c r="C37" s="133" t="s">
        <v>102</v>
      </c>
      <c r="D37" t="s">
        <v>82</v>
      </c>
      <c r="E37" s="15">
        <v>5350</v>
      </c>
      <c r="F37" s="29">
        <v>15</v>
      </c>
      <c r="G37" s="73">
        <v>927.56</v>
      </c>
      <c r="H37" s="15"/>
      <c r="I37" s="20"/>
      <c r="J37" s="15"/>
      <c r="K37" s="15">
        <f t="shared" si="13"/>
        <v>5350</v>
      </c>
      <c r="L37" s="15">
        <v>0</v>
      </c>
      <c r="M37" s="15">
        <v>588.20000000000005</v>
      </c>
      <c r="N37" s="15">
        <v>588.20000000000005</v>
      </c>
      <c r="O37" s="15">
        <v>0</v>
      </c>
      <c r="P37" s="20">
        <f t="shared" si="18"/>
        <v>615.25</v>
      </c>
      <c r="Q37" s="15">
        <f>SUM(N37:P37)+G37</f>
        <v>2131.0100000000002</v>
      </c>
      <c r="R37" s="271">
        <f t="shared" si="15"/>
        <v>3218.99</v>
      </c>
      <c r="S37" s="11">
        <v>256.68</v>
      </c>
      <c r="T37" s="263">
        <f t="shared" si="16"/>
        <v>1096.75</v>
      </c>
      <c r="U37" s="263">
        <f t="shared" si="17"/>
        <v>107</v>
      </c>
      <c r="V37" s="35">
        <f t="shared" si="20"/>
        <v>1460.43</v>
      </c>
    </row>
    <row r="38" spans="2:22" ht="18.75" x14ac:dyDescent="0.3">
      <c r="B38" t="s">
        <v>131</v>
      </c>
      <c r="C38" s="133" t="s">
        <v>85</v>
      </c>
      <c r="D38" t="s">
        <v>83</v>
      </c>
      <c r="E38" s="15">
        <v>5350</v>
      </c>
      <c r="F38" s="29">
        <v>15</v>
      </c>
      <c r="G38" s="73">
        <v>1784</v>
      </c>
      <c r="H38" s="15"/>
      <c r="I38" s="15"/>
      <c r="J38" s="15"/>
      <c r="K38" s="15">
        <f t="shared" si="13"/>
        <v>5350</v>
      </c>
      <c r="L38" s="15">
        <v>0</v>
      </c>
      <c r="M38" s="15">
        <v>588.20000000000005</v>
      </c>
      <c r="N38" s="15">
        <f t="shared" si="19"/>
        <v>588.20000000000005</v>
      </c>
      <c r="O38" s="15">
        <v>0</v>
      </c>
      <c r="P38" s="20">
        <f t="shared" si="18"/>
        <v>615.25</v>
      </c>
      <c r="Q38" s="15">
        <f t="shared" si="14"/>
        <v>2987.45</v>
      </c>
      <c r="R38" s="271">
        <f t="shared" si="15"/>
        <v>2362.5500000000002</v>
      </c>
      <c r="S38" s="11">
        <v>256.68</v>
      </c>
      <c r="T38" s="263">
        <f t="shared" si="16"/>
        <v>1096.75</v>
      </c>
      <c r="U38" s="263">
        <f t="shared" si="17"/>
        <v>107</v>
      </c>
      <c r="V38" s="35">
        <f t="shared" si="20"/>
        <v>1460.43</v>
      </c>
    </row>
    <row r="39" spans="2:22" ht="18.75" x14ac:dyDescent="0.3">
      <c r="B39" t="s">
        <v>132</v>
      </c>
      <c r="C39" s="133" t="s">
        <v>103</v>
      </c>
      <c r="D39" t="s">
        <v>83</v>
      </c>
      <c r="E39" s="15">
        <v>5350</v>
      </c>
      <c r="F39" s="29">
        <v>15</v>
      </c>
      <c r="G39" s="20"/>
      <c r="H39" s="15"/>
      <c r="I39" s="71"/>
      <c r="J39" s="15"/>
      <c r="K39" s="15">
        <f t="shared" si="13"/>
        <v>5350</v>
      </c>
      <c r="L39" s="15">
        <v>0</v>
      </c>
      <c r="M39" s="15">
        <v>588.20000000000005</v>
      </c>
      <c r="N39" s="15">
        <f t="shared" si="19"/>
        <v>588.20000000000005</v>
      </c>
      <c r="O39" s="15">
        <v>0</v>
      </c>
      <c r="P39" s="20">
        <f t="shared" si="18"/>
        <v>615.25</v>
      </c>
      <c r="Q39" s="15">
        <f t="shared" si="14"/>
        <v>1203.45</v>
      </c>
      <c r="R39" s="271">
        <f t="shared" si="15"/>
        <v>4146.55</v>
      </c>
      <c r="S39" s="11">
        <v>256.68</v>
      </c>
      <c r="T39" s="263">
        <f t="shared" si="16"/>
        <v>1096.75</v>
      </c>
      <c r="U39" s="263">
        <f t="shared" si="17"/>
        <v>107</v>
      </c>
      <c r="V39" s="35">
        <f t="shared" si="20"/>
        <v>1460.43</v>
      </c>
    </row>
    <row r="40" spans="2:22" ht="18.75" x14ac:dyDescent="0.3">
      <c r="B40" s="2" t="s">
        <v>26</v>
      </c>
      <c r="C40" s="270"/>
      <c r="D40" s="30"/>
      <c r="E40" s="34">
        <f>SUM(E29:E39)</f>
        <v>58850</v>
      </c>
      <c r="F40" s="34"/>
      <c r="G40" s="34">
        <f>+G39+G38+G37+G36+G35+G34+G33+G30</f>
        <v>5400.5599999999995</v>
      </c>
      <c r="H40" s="34"/>
      <c r="I40" s="34">
        <f>SUM(I29:I39)</f>
        <v>0</v>
      </c>
      <c r="J40" s="34">
        <f>SUM(J29:J39)</f>
        <v>0</v>
      </c>
      <c r="K40" s="34">
        <f>SUM(K29:K39)</f>
        <v>58850</v>
      </c>
      <c r="L40" s="34">
        <f t="shared" ref="L40:Q40" si="21">SUM(L29:L39)</f>
        <v>0</v>
      </c>
      <c r="M40" s="34">
        <f t="shared" si="21"/>
        <v>6470.1999999999989</v>
      </c>
      <c r="N40" s="34">
        <f t="shared" si="21"/>
        <v>6470.0199999999995</v>
      </c>
      <c r="O40" s="34">
        <f t="shared" si="21"/>
        <v>0</v>
      </c>
      <c r="P40" s="34">
        <f>SUM(P29:P39)</f>
        <v>6767.75</v>
      </c>
      <c r="Q40" s="34">
        <f t="shared" si="21"/>
        <v>18638.330000000002</v>
      </c>
      <c r="R40" s="264">
        <f>SUM(R29:R39)</f>
        <v>40211.670000000006</v>
      </c>
      <c r="S40" s="34">
        <f>SUM(S29:S39)</f>
        <v>2823.4799999999996</v>
      </c>
      <c r="T40" s="34">
        <f>SUM(T29:T39)</f>
        <v>12064.25</v>
      </c>
      <c r="U40" s="34">
        <f>SUM(U29:U39)</f>
        <v>1177</v>
      </c>
      <c r="V40" s="34">
        <f>SUM(V29:V39)</f>
        <v>16064.730000000001</v>
      </c>
    </row>
    <row r="41" spans="2:22" ht="18.75" hidden="1" x14ac:dyDescent="0.3">
      <c r="C41" s="133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265"/>
    </row>
    <row r="42" spans="2:22" ht="18.75" x14ac:dyDescent="0.3">
      <c r="B42" s="2" t="s">
        <v>140</v>
      </c>
      <c r="C42" s="270" t="s">
        <v>64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265"/>
    </row>
    <row r="43" spans="2:22" ht="18.75" hidden="1" x14ac:dyDescent="0.3">
      <c r="B43" t="s">
        <v>133</v>
      </c>
      <c r="C43" s="133">
        <v>0</v>
      </c>
      <c r="D43" t="s">
        <v>80</v>
      </c>
      <c r="E43" s="15">
        <v>0</v>
      </c>
      <c r="F43" s="29">
        <v>0</v>
      </c>
      <c r="G43" s="15"/>
      <c r="H43" s="15"/>
      <c r="I43" s="77"/>
      <c r="J43" s="20"/>
      <c r="K43" s="20">
        <f>E43-I43</f>
        <v>0</v>
      </c>
      <c r="L43" s="20">
        <v>0</v>
      </c>
      <c r="M43" s="20">
        <v>0</v>
      </c>
      <c r="N43" s="20">
        <v>0</v>
      </c>
      <c r="O43" s="15">
        <v>0</v>
      </c>
      <c r="P43" s="15">
        <f t="shared" ref="P43" si="22">E43*0.115</f>
        <v>0</v>
      </c>
      <c r="Q43" s="15">
        <f>SUM(N43:P43)+G43</f>
        <v>0</v>
      </c>
      <c r="R43" s="266">
        <f>K43-Q43</f>
        <v>0</v>
      </c>
      <c r="S43" s="11">
        <v>0</v>
      </c>
      <c r="T43" s="263">
        <f t="shared" ref="T43" si="23">+E43*17.5%</f>
        <v>0</v>
      </c>
      <c r="U43" s="263">
        <f t="shared" ref="U43:U44" si="24">+E43*2%</f>
        <v>0</v>
      </c>
      <c r="V43" s="35">
        <f t="shared" ref="V43:V44" si="25">SUM(S43:U43)</f>
        <v>0</v>
      </c>
    </row>
    <row r="44" spans="2:22" ht="18.75" x14ac:dyDescent="0.3">
      <c r="B44" t="s">
        <v>152</v>
      </c>
      <c r="C44" s="133" t="s">
        <v>92</v>
      </c>
      <c r="D44" t="s">
        <v>80</v>
      </c>
      <c r="E44" s="15">
        <v>5350</v>
      </c>
      <c r="F44" s="29">
        <v>15</v>
      </c>
      <c r="G44" s="15"/>
      <c r="H44" s="15"/>
      <c r="I44" s="15"/>
      <c r="J44" s="15"/>
      <c r="K44" s="15">
        <f>E44-I44</f>
        <v>5350</v>
      </c>
      <c r="L44" s="15">
        <v>0</v>
      </c>
      <c r="M44" s="15">
        <v>588.20000000000005</v>
      </c>
      <c r="N44" s="15">
        <v>588.20000000000005</v>
      </c>
      <c r="O44" s="15">
        <v>0</v>
      </c>
      <c r="P44" s="15">
        <f>K44*0.115</f>
        <v>615.25</v>
      </c>
      <c r="Q44" s="15">
        <f>SUM(N44:P44)+G44</f>
        <v>1203.45</v>
      </c>
      <c r="R44" s="271">
        <f>K44-Q44</f>
        <v>4146.55</v>
      </c>
      <c r="S44" s="11">
        <v>256.68</v>
      </c>
      <c r="T44" s="263">
        <f>+E44*17.5%+160.5</f>
        <v>1096.75</v>
      </c>
      <c r="U44" s="263">
        <f t="shared" si="24"/>
        <v>107</v>
      </c>
      <c r="V44" s="35">
        <f t="shared" si="25"/>
        <v>1460.43</v>
      </c>
    </row>
    <row r="45" spans="2:22" ht="18.75" x14ac:dyDescent="0.3">
      <c r="B45" t="s">
        <v>220</v>
      </c>
      <c r="C45" s="133" t="s">
        <v>221</v>
      </c>
      <c r="D45" t="s">
        <v>222</v>
      </c>
      <c r="E45" s="15">
        <v>5350</v>
      </c>
      <c r="F45" s="29">
        <v>15</v>
      </c>
      <c r="G45" s="15"/>
      <c r="H45" s="15"/>
      <c r="I45" s="15"/>
      <c r="J45" s="15"/>
      <c r="K45" s="15">
        <f>E45-I45</f>
        <v>5350</v>
      </c>
      <c r="L45" s="15">
        <v>0</v>
      </c>
      <c r="M45" s="15">
        <v>588.20000000000005</v>
      </c>
      <c r="N45" s="15">
        <v>588.20000000000005</v>
      </c>
      <c r="O45" s="15">
        <v>0</v>
      </c>
      <c r="P45" s="15"/>
      <c r="Q45" s="15">
        <f>SUM(N45:P45)+G45</f>
        <v>588.20000000000005</v>
      </c>
      <c r="R45" s="274">
        <f>K45-Q45</f>
        <v>4761.8</v>
      </c>
      <c r="S45" s="11">
        <v>256.68</v>
      </c>
      <c r="T45" s="263"/>
      <c r="U45" s="263"/>
      <c r="V45" s="35">
        <f t="shared" ref="V45" si="26">SUM(S45:U45)</f>
        <v>256.68</v>
      </c>
    </row>
    <row r="46" spans="2:22" ht="18.75" x14ac:dyDescent="0.3">
      <c r="B46" s="2" t="s">
        <v>26</v>
      </c>
      <c r="C46" s="270"/>
      <c r="D46" s="30"/>
      <c r="E46" s="34">
        <f>E43+E44+E45</f>
        <v>10700</v>
      </c>
      <c r="F46" s="34"/>
      <c r="G46" s="34">
        <f>G43+G44+G45</f>
        <v>0</v>
      </c>
      <c r="H46" s="34">
        <f t="shared" ref="H46:Q46" si="27">H43+H44+H45</f>
        <v>0</v>
      </c>
      <c r="I46" s="34">
        <f t="shared" si="27"/>
        <v>0</v>
      </c>
      <c r="J46" s="34">
        <f t="shared" si="27"/>
        <v>0</v>
      </c>
      <c r="K46" s="34">
        <f>K43+K44+K45</f>
        <v>10700</v>
      </c>
      <c r="L46" s="34">
        <f>L43+L44+L45</f>
        <v>0</v>
      </c>
      <c r="M46" s="34">
        <f>M43+M44+M45</f>
        <v>1176.4000000000001</v>
      </c>
      <c r="N46" s="34">
        <f>N43+N44+N45</f>
        <v>1176.4000000000001</v>
      </c>
      <c r="O46" s="34">
        <f t="shared" si="27"/>
        <v>0</v>
      </c>
      <c r="P46" s="34">
        <f>P43+P44+P45</f>
        <v>615.25</v>
      </c>
      <c r="Q46" s="34">
        <f t="shared" si="27"/>
        <v>1791.65</v>
      </c>
      <c r="R46" s="264">
        <f>R43+R44+R45</f>
        <v>8908.35</v>
      </c>
      <c r="S46" s="34">
        <f t="shared" ref="S46" si="28">S43+S44+S45</f>
        <v>513.36</v>
      </c>
      <c r="T46" s="34">
        <f t="shared" ref="T46" si="29">T43+T44+T45</f>
        <v>1096.75</v>
      </c>
      <c r="U46" s="34">
        <f t="shared" ref="U46" si="30">U43+U44+U45</f>
        <v>107</v>
      </c>
      <c r="V46" s="34">
        <f t="shared" ref="V46" si="31">V43+V44+V45</f>
        <v>1717.1100000000001</v>
      </c>
    </row>
    <row r="47" spans="2:22" ht="18.75" hidden="1" x14ac:dyDescent="0.3">
      <c r="B47" s="2"/>
      <c r="C47" s="133"/>
      <c r="E47" s="15"/>
      <c r="F47" s="15"/>
      <c r="G47" s="15"/>
      <c r="H47" s="15"/>
      <c r="I47" s="15"/>
      <c r="J47" s="15"/>
      <c r="K47" s="16"/>
      <c r="L47" s="16"/>
      <c r="M47" s="16"/>
      <c r="N47" s="16"/>
      <c r="O47" s="16"/>
      <c r="P47" s="16"/>
      <c r="Q47" s="16"/>
      <c r="R47" s="267"/>
      <c r="S47" s="8"/>
      <c r="T47" s="8"/>
      <c r="U47" s="8"/>
      <c r="V47" s="8"/>
    </row>
    <row r="48" spans="2:22" ht="18.75" x14ac:dyDescent="0.3">
      <c r="B48" s="2" t="s">
        <v>161</v>
      </c>
      <c r="C48" s="270" t="s">
        <v>162</v>
      </c>
      <c r="E48" s="15"/>
      <c r="F48" s="15"/>
      <c r="G48" s="15"/>
      <c r="H48" s="15"/>
      <c r="I48" s="15"/>
      <c r="J48" s="15"/>
      <c r="K48" s="16"/>
      <c r="L48" s="16"/>
      <c r="M48" s="16"/>
      <c r="N48" s="16"/>
      <c r="O48" s="16"/>
      <c r="P48" s="16"/>
      <c r="Q48" s="16"/>
      <c r="R48" s="267"/>
      <c r="S48" s="8"/>
      <c r="T48" s="8"/>
      <c r="U48" s="8"/>
      <c r="V48" s="8"/>
    </row>
    <row r="49" spans="2:22" ht="18.75" x14ac:dyDescent="0.3">
      <c r="B49" t="s">
        <v>163</v>
      </c>
      <c r="C49" s="269" t="s">
        <v>42</v>
      </c>
      <c r="D49" t="s">
        <v>2</v>
      </c>
      <c r="E49" s="15">
        <v>10000</v>
      </c>
      <c r="F49" s="29">
        <v>15</v>
      </c>
      <c r="G49" s="15"/>
      <c r="H49" s="15"/>
      <c r="I49" s="15"/>
      <c r="J49" s="15"/>
      <c r="K49" s="15">
        <f>E49-I49</f>
        <v>10000</v>
      </c>
      <c r="L49" s="15">
        <v>0</v>
      </c>
      <c r="M49" s="15">
        <v>1581.44</v>
      </c>
      <c r="N49" s="15">
        <f>M49-L49</f>
        <v>1581.44</v>
      </c>
      <c r="O49" s="15">
        <v>0</v>
      </c>
      <c r="P49" s="15">
        <f>E49*0.115</f>
        <v>1150</v>
      </c>
      <c r="Q49" s="15">
        <f>SUM(N49:P49)+G49</f>
        <v>2731.44</v>
      </c>
      <c r="R49" s="271">
        <f>K49-Q49</f>
        <v>7268.5599999999995</v>
      </c>
      <c r="S49" s="11">
        <v>285.52999999999997</v>
      </c>
      <c r="T49" s="263">
        <f>+E49*17.5%+300</f>
        <v>2050</v>
      </c>
      <c r="U49" s="263">
        <f t="shared" ref="U49" si="32">+E49*2%</f>
        <v>200</v>
      </c>
      <c r="V49" s="35">
        <f t="shared" ref="V49" si="33">SUM(S49:U49)</f>
        <v>2535.5299999999997</v>
      </c>
    </row>
    <row r="50" spans="2:22" ht="18.75" x14ac:dyDescent="0.3">
      <c r="B50" s="2" t="s">
        <v>26</v>
      </c>
      <c r="E50" s="34">
        <f>E49</f>
        <v>10000</v>
      </c>
      <c r="F50" s="34"/>
      <c r="G50" s="34">
        <f>+G49</f>
        <v>0</v>
      </c>
      <c r="H50" s="34"/>
      <c r="I50" s="34">
        <f>I49</f>
        <v>0</v>
      </c>
      <c r="J50" s="34">
        <f>J49</f>
        <v>0</v>
      </c>
      <c r="K50" s="34">
        <f>K49</f>
        <v>10000</v>
      </c>
      <c r="L50" s="34">
        <f t="shared" ref="L50:V50" si="34">L49</f>
        <v>0</v>
      </c>
      <c r="M50" s="34">
        <f t="shared" si="34"/>
        <v>1581.44</v>
      </c>
      <c r="N50" s="34">
        <f t="shared" si="34"/>
        <v>1581.44</v>
      </c>
      <c r="O50" s="34">
        <f t="shared" si="34"/>
        <v>0</v>
      </c>
      <c r="P50" s="34">
        <f>P49</f>
        <v>1150</v>
      </c>
      <c r="Q50" s="34">
        <f t="shared" si="34"/>
        <v>2731.44</v>
      </c>
      <c r="R50" s="264">
        <f>R49</f>
        <v>7268.5599999999995</v>
      </c>
      <c r="S50" s="34">
        <f t="shared" si="34"/>
        <v>285.52999999999997</v>
      </c>
      <c r="T50" s="34">
        <f t="shared" si="34"/>
        <v>2050</v>
      </c>
      <c r="U50" s="34">
        <f t="shared" si="34"/>
        <v>200</v>
      </c>
      <c r="V50" s="34">
        <f t="shared" si="34"/>
        <v>2535.5299999999997</v>
      </c>
    </row>
    <row r="51" spans="2:22" ht="12" customHeight="1" x14ac:dyDescent="0.3">
      <c r="B51" s="2"/>
      <c r="E51" s="15"/>
      <c r="F51" s="15"/>
      <c r="G51" s="15"/>
      <c r="H51" s="15"/>
      <c r="I51" s="15"/>
      <c r="J51" s="15"/>
      <c r="K51" s="16"/>
      <c r="L51" s="16"/>
      <c r="M51" s="16"/>
      <c r="N51" s="16"/>
      <c r="O51" s="16"/>
      <c r="P51" s="16"/>
      <c r="Q51" s="16"/>
      <c r="R51" s="267"/>
      <c r="S51" s="8"/>
      <c r="T51" s="8"/>
      <c r="U51" s="8"/>
      <c r="V51" s="8"/>
    </row>
    <row r="52" spans="2:22" ht="18.75" hidden="1" x14ac:dyDescent="0.3">
      <c r="R52" s="268"/>
    </row>
    <row r="53" spans="2:22" ht="18.75" x14ac:dyDescent="0.3">
      <c r="C53" s="53" t="s">
        <v>105</v>
      </c>
      <c r="E53" s="17">
        <f>E9+E20+E26+E40+E46+E50</f>
        <v>153604.95000000001</v>
      </c>
      <c r="F53" s="17"/>
      <c r="G53" s="17">
        <f>G9+G20+G26+G40+G46+G50</f>
        <v>15880.56</v>
      </c>
      <c r="H53" s="17"/>
      <c r="I53" s="17">
        <f>I9+I20+I26+I40+I46+I50</f>
        <v>0</v>
      </c>
      <c r="J53" s="17">
        <f t="shared" ref="J53:Q53" si="35">J9+J20+J26+J40+J46+J50</f>
        <v>0</v>
      </c>
      <c r="K53" s="17">
        <f>K9+K20+K26+K40+K46+K50</f>
        <v>153604.95000000001</v>
      </c>
      <c r="L53" s="17">
        <f t="shared" si="35"/>
        <v>274.08999999999997</v>
      </c>
      <c r="M53" s="17">
        <f t="shared" si="35"/>
        <v>18910.05</v>
      </c>
      <c r="N53" s="17">
        <f t="shared" si="35"/>
        <v>18637.23</v>
      </c>
      <c r="O53" s="17">
        <f t="shared" si="35"/>
        <v>0</v>
      </c>
      <c r="P53" s="17">
        <f>P9+P20+P26+P40+P46+P50</f>
        <v>17049.31925</v>
      </c>
      <c r="Q53" s="17">
        <f t="shared" si="35"/>
        <v>51567.109250000009</v>
      </c>
      <c r="R53" s="54">
        <f>R9+R20+R26+R40+R46+R50</f>
        <v>102037.84075</v>
      </c>
      <c r="S53" s="17">
        <f>S9+S20+S26+S40+S46+S50</f>
        <v>6763.6999999999989</v>
      </c>
      <c r="T53" s="17">
        <f>T9+T20+T26+T40+T46+T50</f>
        <v>30392.266250000001</v>
      </c>
      <c r="U53" s="17">
        <f>U9+U20+U26+U40+U46+U50</f>
        <v>2965.0990000000002</v>
      </c>
      <c r="V53" s="55">
        <f>V9+V20+V26+V40+V46+V50</f>
        <v>40121.06525</v>
      </c>
    </row>
    <row r="56" spans="2:22" ht="16.5" thickBot="1" x14ac:dyDescent="0.3">
      <c r="E56" s="375"/>
      <c r="F56" s="375"/>
      <c r="G56" s="272"/>
      <c r="H56" s="272"/>
      <c r="P56" s="376"/>
      <c r="Q56" s="376"/>
    </row>
    <row r="57" spans="2:22" ht="15" x14ac:dyDescent="0.25">
      <c r="E57" s="377" t="s">
        <v>177</v>
      </c>
      <c r="F57" s="377"/>
      <c r="G57" s="273"/>
      <c r="H57" s="273"/>
      <c r="P57" s="26"/>
      <c r="Q57" s="26"/>
      <c r="R57" s="378" t="s">
        <v>157</v>
      </c>
      <c r="S57" s="378"/>
      <c r="T57" s="272"/>
    </row>
    <row r="61" spans="2:22" x14ac:dyDescent="0.25">
      <c r="C61" t="s">
        <v>174</v>
      </c>
    </row>
  </sheetData>
  <mergeCells count="5">
    <mergeCell ref="B4:V4"/>
    <mergeCell ref="E56:F56"/>
    <mergeCell ref="P56:Q56"/>
    <mergeCell ref="E57:F57"/>
    <mergeCell ref="R57:S57"/>
  </mergeCells>
  <pageMargins left="0.51181102362204722" right="0.51181102362204722" top="0.15748031496062992" bottom="0.35433070866141736" header="0.31496062992125984" footer="0.31496062992125984"/>
  <pageSetup scale="37" fitToHeight="0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W67"/>
  <sheetViews>
    <sheetView topLeftCell="A14" zoomScale="83" zoomScaleNormal="83" workbookViewId="0">
      <selection activeCell="C38" sqref="C38"/>
    </sheetView>
  </sheetViews>
  <sheetFormatPr baseColWidth="10" defaultRowHeight="15.75" x14ac:dyDescent="0.25"/>
  <cols>
    <col min="1" max="1" width="0.7109375" customWidth="1"/>
    <col min="2" max="2" width="17.140625" customWidth="1"/>
    <col min="3" max="3" width="36.5703125" customWidth="1"/>
    <col min="4" max="4" width="28" customWidth="1"/>
    <col min="5" max="5" width="18.42578125" customWidth="1"/>
    <col min="6" max="6" width="12.7109375" customWidth="1"/>
    <col min="7" max="7" width="12.28515625" customWidth="1"/>
    <col min="8" max="8" width="14.140625" hidden="1" customWidth="1"/>
    <col min="9" max="9" width="13.85546875" customWidth="1"/>
    <col min="10" max="10" width="11.42578125" customWidth="1"/>
    <col min="11" max="11" width="15.85546875" customWidth="1"/>
    <col min="12" max="12" width="9.42578125" customWidth="1"/>
    <col min="13" max="14" width="14.42578125" customWidth="1"/>
    <col min="15" max="15" width="11.42578125" hidden="1" customWidth="1"/>
    <col min="16" max="16" width="12.85546875" customWidth="1"/>
    <col min="17" max="17" width="16.5703125" customWidth="1"/>
    <col min="18" max="18" width="18.28515625" style="133" customWidth="1"/>
    <col min="19" max="20" width="16.140625" customWidth="1"/>
    <col min="21" max="21" width="14.85546875" customWidth="1"/>
    <col min="22" max="22" width="17" customWidth="1"/>
  </cols>
  <sheetData>
    <row r="3" spans="2:23" x14ac:dyDescent="0.25"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29"/>
    </row>
    <row r="4" spans="2:23" ht="16.5" customHeight="1" x14ac:dyDescent="0.25">
      <c r="B4" s="380" t="s">
        <v>223</v>
      </c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</row>
    <row r="5" spans="2:23" s="56" customFormat="1" ht="56.25" x14ac:dyDescent="0.25">
      <c r="B5" s="120" t="s">
        <v>9</v>
      </c>
      <c r="C5" s="119" t="s">
        <v>10</v>
      </c>
      <c r="D5" s="103" t="s">
        <v>0</v>
      </c>
      <c r="E5" s="61" t="s">
        <v>11</v>
      </c>
      <c r="F5" s="100" t="s">
        <v>150</v>
      </c>
      <c r="G5" s="117" t="s">
        <v>180</v>
      </c>
      <c r="H5" s="118" t="s">
        <v>182</v>
      </c>
      <c r="I5" s="97" t="s">
        <v>169</v>
      </c>
      <c r="J5" s="103" t="s">
        <v>170</v>
      </c>
      <c r="K5" s="103" t="s">
        <v>12</v>
      </c>
      <c r="L5" s="99" t="s">
        <v>107</v>
      </c>
      <c r="M5" s="100" t="s">
        <v>143</v>
      </c>
      <c r="N5" s="100" t="s">
        <v>13</v>
      </c>
      <c r="O5" s="101" t="s">
        <v>171</v>
      </c>
      <c r="P5" s="116" t="s">
        <v>16</v>
      </c>
      <c r="Q5" s="115" t="s">
        <v>17</v>
      </c>
      <c r="R5" s="130" t="s">
        <v>72</v>
      </c>
      <c r="S5" s="99" t="s">
        <v>8</v>
      </c>
      <c r="T5" s="99" t="s">
        <v>218</v>
      </c>
      <c r="U5" s="123" t="s">
        <v>18</v>
      </c>
      <c r="V5" s="123" t="s">
        <v>73</v>
      </c>
      <c r="W5" s="102"/>
    </row>
    <row r="6" spans="2:23" x14ac:dyDescent="0.25">
      <c r="B6" s="107" t="s">
        <v>19</v>
      </c>
      <c r="C6" s="121" t="s">
        <v>20</v>
      </c>
      <c r="D6" s="121"/>
      <c r="E6" s="95"/>
      <c r="F6" s="15"/>
      <c r="G6" s="114"/>
      <c r="H6" s="15"/>
      <c r="I6" s="95"/>
      <c r="J6" s="95"/>
      <c r="K6" s="95"/>
      <c r="L6" s="15"/>
      <c r="M6" s="15"/>
      <c r="N6" s="15"/>
      <c r="O6" s="95"/>
      <c r="P6" s="15"/>
      <c r="Q6" s="95"/>
      <c r="R6" s="129"/>
    </row>
    <row r="7" spans="2:23" ht="18.75" x14ac:dyDescent="0.3">
      <c r="B7" t="s">
        <v>21</v>
      </c>
      <c r="C7" s="269" t="s">
        <v>22</v>
      </c>
      <c r="D7" t="s">
        <v>25</v>
      </c>
      <c r="E7" s="15">
        <v>16954.95</v>
      </c>
      <c r="F7" s="29">
        <v>15</v>
      </c>
      <c r="G7" s="18">
        <v>2700</v>
      </c>
      <c r="H7" s="15"/>
      <c r="I7" s="15"/>
      <c r="J7" s="15"/>
      <c r="K7" s="15">
        <f>E7-I7</f>
        <v>16954.95</v>
      </c>
      <c r="L7" s="15">
        <v>0</v>
      </c>
      <c r="M7" s="15">
        <v>3246.93</v>
      </c>
      <c r="N7" s="15">
        <f>M7-L7</f>
        <v>3246.93</v>
      </c>
      <c r="O7" s="15">
        <v>0</v>
      </c>
      <c r="P7" s="20">
        <f>E7*0.115</f>
        <v>1949.8192500000002</v>
      </c>
      <c r="Q7" s="15">
        <f>SUM(N7:P7)+G7</f>
        <v>7896.7492499999998</v>
      </c>
      <c r="R7" s="279">
        <f>K7-Q7</f>
        <v>9058.20075</v>
      </c>
      <c r="S7" s="11">
        <v>328.67</v>
      </c>
      <c r="T7" s="263">
        <f>+E7*17.5%+508.65</f>
        <v>3475.7662500000001</v>
      </c>
      <c r="U7" s="263">
        <f>+E7*2%</f>
        <v>339.09900000000005</v>
      </c>
      <c r="V7" s="35">
        <f>SUM(S7:U7)</f>
        <v>4143.5352499999999</v>
      </c>
    </row>
    <row r="8" spans="2:23" ht="18.75" x14ac:dyDescent="0.3">
      <c r="B8" t="s">
        <v>23</v>
      </c>
      <c r="C8" s="269" t="s">
        <v>24</v>
      </c>
      <c r="D8" t="s">
        <v>3</v>
      </c>
      <c r="E8" s="15">
        <v>4850</v>
      </c>
      <c r="F8" s="29">
        <v>15</v>
      </c>
      <c r="G8" s="18">
        <v>809</v>
      </c>
      <c r="H8" s="15"/>
      <c r="I8" s="15"/>
      <c r="J8" s="15"/>
      <c r="K8" s="15">
        <f>E8-I8</f>
        <v>4850</v>
      </c>
      <c r="L8" s="15">
        <v>0</v>
      </c>
      <c r="M8" s="15">
        <v>491.69</v>
      </c>
      <c r="N8" s="15">
        <f>M8-L8</f>
        <v>491.69</v>
      </c>
      <c r="O8" s="15">
        <v>0</v>
      </c>
      <c r="P8" s="20">
        <f>E8*0.115</f>
        <v>557.75</v>
      </c>
      <c r="Q8" s="15">
        <f>SUM(N8:P8)+G8</f>
        <v>1858.44</v>
      </c>
      <c r="R8" s="279">
        <f>K8-Q8</f>
        <v>2991.56</v>
      </c>
      <c r="S8" s="11">
        <v>253.58</v>
      </c>
      <c r="T8" s="263">
        <f>+E8*17.5%+145.5</f>
        <v>994.25</v>
      </c>
      <c r="U8" s="263">
        <f>+E8*2%</f>
        <v>97</v>
      </c>
      <c r="V8" s="35">
        <f>SUM(S8:U8)</f>
        <v>1344.83</v>
      </c>
    </row>
    <row r="9" spans="2:23" ht="18.75" x14ac:dyDescent="0.3">
      <c r="B9" s="7" t="s">
        <v>26</v>
      </c>
      <c r="C9" s="270"/>
      <c r="D9" s="30"/>
      <c r="E9" s="34">
        <f>SUM(E7:E8)</f>
        <v>21804.95</v>
      </c>
      <c r="F9" s="34"/>
      <c r="G9" s="34">
        <f>+G8+G7</f>
        <v>3509</v>
      </c>
      <c r="H9" s="34"/>
      <c r="I9" s="34">
        <f t="shared" ref="I9:V9" si="0">SUM(I7:I8)</f>
        <v>0</v>
      </c>
      <c r="J9" s="34">
        <f t="shared" si="0"/>
        <v>0</v>
      </c>
      <c r="K9" s="34">
        <f t="shared" si="0"/>
        <v>21804.95</v>
      </c>
      <c r="L9" s="34">
        <f t="shared" si="0"/>
        <v>0</v>
      </c>
      <c r="M9" s="34">
        <f t="shared" si="0"/>
        <v>3738.62</v>
      </c>
      <c r="N9" s="34">
        <f t="shared" si="0"/>
        <v>3738.62</v>
      </c>
      <c r="O9" s="34">
        <f t="shared" si="0"/>
        <v>0</v>
      </c>
      <c r="P9" s="34">
        <f>SUM(P7:P8)</f>
        <v>2507.5692500000005</v>
      </c>
      <c r="Q9" s="34">
        <f t="shared" si="0"/>
        <v>9755.1892499999994</v>
      </c>
      <c r="R9" s="264">
        <f>SUM(R7:R8)</f>
        <v>12049.760749999999</v>
      </c>
      <c r="S9" s="34">
        <f t="shared" si="0"/>
        <v>582.25</v>
      </c>
      <c r="T9" s="34">
        <f t="shared" si="0"/>
        <v>4470.0162500000006</v>
      </c>
      <c r="U9" s="34">
        <f t="shared" si="0"/>
        <v>436.09900000000005</v>
      </c>
      <c r="V9" s="34">
        <f t="shared" si="0"/>
        <v>5488.3652499999998</v>
      </c>
    </row>
    <row r="10" spans="2:23" ht="10.5" hidden="1" customHeight="1" x14ac:dyDescent="0.3">
      <c r="C10" s="133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265"/>
    </row>
    <row r="11" spans="2:23" ht="18.75" x14ac:dyDescent="0.3">
      <c r="B11" s="2" t="s">
        <v>27</v>
      </c>
      <c r="C11" s="270" t="s">
        <v>28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265"/>
    </row>
    <row r="12" spans="2:23" ht="18.75" x14ac:dyDescent="0.3">
      <c r="B12" t="s">
        <v>32</v>
      </c>
      <c r="C12" s="269" t="s">
        <v>37</v>
      </c>
      <c r="D12" t="s">
        <v>1</v>
      </c>
      <c r="E12" s="15">
        <v>10000</v>
      </c>
      <c r="F12" s="29">
        <v>15</v>
      </c>
      <c r="G12" s="18">
        <v>3334</v>
      </c>
      <c r="H12" s="15"/>
      <c r="I12" s="15"/>
      <c r="J12" s="15"/>
      <c r="K12" s="15">
        <f t="shared" ref="K12:K18" si="1">E12-I12</f>
        <v>10000</v>
      </c>
      <c r="L12" s="15">
        <v>0</v>
      </c>
      <c r="M12" s="15">
        <v>1581.44</v>
      </c>
      <c r="N12" s="15">
        <f>M12-L12</f>
        <v>1581.44</v>
      </c>
      <c r="O12" s="15">
        <v>0</v>
      </c>
      <c r="P12" s="15">
        <f t="shared" ref="P12:P19" si="2">E12*0.115</f>
        <v>1150</v>
      </c>
      <c r="Q12" s="15">
        <f>SUM(N12:P12)+G12</f>
        <v>6065.4400000000005</v>
      </c>
      <c r="R12" s="279">
        <f t="shared" ref="R12:R19" si="3">K12-Q12</f>
        <v>3934.5599999999995</v>
      </c>
      <c r="S12" s="11">
        <v>285.52999999999997</v>
      </c>
      <c r="T12" s="263">
        <f>+E12*17.5%+300</f>
        <v>2050</v>
      </c>
      <c r="U12" s="263">
        <f>+E12*2%</f>
        <v>200</v>
      </c>
      <c r="V12" s="35">
        <f t="shared" ref="V12:V19" si="4">SUM(S12:U12)</f>
        <v>2535.5299999999997</v>
      </c>
    </row>
    <row r="13" spans="2:23" ht="18.75" x14ac:dyDescent="0.3">
      <c r="B13" t="s">
        <v>33</v>
      </c>
      <c r="C13" s="269" t="s">
        <v>38</v>
      </c>
      <c r="D13" t="s">
        <v>74</v>
      </c>
      <c r="E13" s="15">
        <v>5350</v>
      </c>
      <c r="F13" s="29">
        <v>15</v>
      </c>
      <c r="G13" s="15"/>
      <c r="H13" s="15"/>
      <c r="I13" s="77"/>
      <c r="J13" s="19"/>
      <c r="K13" s="15">
        <f>E13-I13</f>
        <v>5350</v>
      </c>
      <c r="L13" s="15">
        <v>0</v>
      </c>
      <c r="M13" s="15">
        <v>586.75</v>
      </c>
      <c r="N13" s="15">
        <v>588.20000000000005</v>
      </c>
      <c r="O13" s="15">
        <v>0</v>
      </c>
      <c r="P13" s="15">
        <f t="shared" si="2"/>
        <v>615.25</v>
      </c>
      <c r="Q13" s="15">
        <f t="shared" ref="Q13:Q19" si="5">SUM(N13:P13)+G13</f>
        <v>1203.45</v>
      </c>
      <c r="R13" s="279">
        <f t="shared" si="3"/>
        <v>4146.55</v>
      </c>
      <c r="S13" s="11">
        <v>256.68</v>
      </c>
      <c r="T13" s="263">
        <f>+E13*17.5%+160.5</f>
        <v>1096.75</v>
      </c>
      <c r="U13" s="263">
        <f>+E13*2%</f>
        <v>107</v>
      </c>
      <c r="V13" s="35">
        <f t="shared" si="4"/>
        <v>1460.43</v>
      </c>
    </row>
    <row r="14" spans="2:23" ht="18.75" x14ac:dyDescent="0.3">
      <c r="B14" t="s">
        <v>34</v>
      </c>
      <c r="C14" s="269" t="s">
        <v>178</v>
      </c>
      <c r="D14" t="s">
        <v>179</v>
      </c>
      <c r="E14" s="15">
        <v>5350</v>
      </c>
      <c r="F14" s="29">
        <v>15</v>
      </c>
      <c r="G14" s="15"/>
      <c r="H14" s="20"/>
      <c r="I14" s="19"/>
      <c r="J14" s="19"/>
      <c r="K14" s="15">
        <f>+E14+H14</f>
        <v>5350</v>
      </c>
      <c r="L14" s="15">
        <v>0</v>
      </c>
      <c r="M14" s="15">
        <v>588.20000000000005</v>
      </c>
      <c r="N14" s="15">
        <v>588.20000000000005</v>
      </c>
      <c r="O14" s="15">
        <v>0</v>
      </c>
      <c r="P14" s="113">
        <v>615.25</v>
      </c>
      <c r="Q14" s="15">
        <f>SUM(N14:P14)+G14</f>
        <v>1203.45</v>
      </c>
      <c r="R14" s="279">
        <f>K14-Q14</f>
        <v>4146.55</v>
      </c>
      <c r="S14" s="11">
        <v>256.68</v>
      </c>
      <c r="T14" s="263">
        <f>+E14*17.5%+160.5</f>
        <v>1096.75</v>
      </c>
      <c r="U14" s="263">
        <f t="shared" ref="U14:U19" si="6">+E14*2%</f>
        <v>107</v>
      </c>
      <c r="V14" s="35">
        <f t="shared" si="4"/>
        <v>1460.43</v>
      </c>
    </row>
    <row r="15" spans="2:23" ht="18.75" x14ac:dyDescent="0.3">
      <c r="B15" t="s">
        <v>35</v>
      </c>
      <c r="C15" s="133" t="s">
        <v>111</v>
      </c>
      <c r="D15" t="s">
        <v>77</v>
      </c>
      <c r="E15" s="15">
        <v>6000</v>
      </c>
      <c r="F15" s="29">
        <v>15</v>
      </c>
      <c r="G15" s="15"/>
      <c r="H15" s="15"/>
      <c r="I15" s="15"/>
      <c r="J15" s="15"/>
      <c r="K15" s="15">
        <f t="shared" si="1"/>
        <v>6000</v>
      </c>
      <c r="L15" s="15">
        <v>0</v>
      </c>
      <c r="M15" s="15">
        <v>727.04</v>
      </c>
      <c r="N15" s="15">
        <f t="shared" ref="N15:N19" si="7">M15-L15</f>
        <v>727.04</v>
      </c>
      <c r="O15" s="15">
        <v>0</v>
      </c>
      <c r="P15" s="15">
        <f>E15*0.115</f>
        <v>690</v>
      </c>
      <c r="Q15" s="15">
        <f t="shared" si="5"/>
        <v>1417.04</v>
      </c>
      <c r="R15" s="279">
        <f t="shared" si="3"/>
        <v>4582.96</v>
      </c>
      <c r="S15" s="11">
        <v>260.72000000000003</v>
      </c>
      <c r="T15" s="263">
        <f>+E15*17.5%+180</f>
        <v>1230</v>
      </c>
      <c r="U15" s="263">
        <f t="shared" si="6"/>
        <v>120</v>
      </c>
      <c r="V15" s="35">
        <f t="shared" si="4"/>
        <v>1610.72</v>
      </c>
    </row>
    <row r="16" spans="2:23" ht="18.75" x14ac:dyDescent="0.3">
      <c r="B16" t="s">
        <v>36</v>
      </c>
      <c r="C16" s="133" t="s">
        <v>86</v>
      </c>
      <c r="D16" t="s">
        <v>39</v>
      </c>
      <c r="E16" s="15">
        <v>4500</v>
      </c>
      <c r="F16" s="29">
        <v>15</v>
      </c>
      <c r="G16" s="18">
        <v>1000</v>
      </c>
      <c r="H16" s="15"/>
      <c r="I16" s="15"/>
      <c r="J16" s="15"/>
      <c r="K16" s="15">
        <f t="shared" si="1"/>
        <v>4500</v>
      </c>
      <c r="L16" s="15">
        <v>0</v>
      </c>
      <c r="M16" s="15">
        <v>428.97</v>
      </c>
      <c r="N16" s="15">
        <f t="shared" si="7"/>
        <v>428.97</v>
      </c>
      <c r="O16" s="15">
        <v>0</v>
      </c>
      <c r="P16" s="15">
        <f t="shared" si="2"/>
        <v>517.5</v>
      </c>
      <c r="Q16" s="15">
        <f t="shared" si="5"/>
        <v>1946.47</v>
      </c>
      <c r="R16" s="279">
        <f t="shared" si="3"/>
        <v>2553.5299999999997</v>
      </c>
      <c r="S16" s="11">
        <v>251.41</v>
      </c>
      <c r="T16" s="263">
        <f>+E16*17.5%+135</f>
        <v>922.5</v>
      </c>
      <c r="U16" s="263">
        <f t="shared" si="6"/>
        <v>90</v>
      </c>
      <c r="V16" s="35">
        <f t="shared" si="4"/>
        <v>1263.9100000000001</v>
      </c>
    </row>
    <row r="17" spans="2:22" ht="18.75" x14ac:dyDescent="0.3">
      <c r="B17" t="s">
        <v>115</v>
      </c>
      <c r="C17" s="133" t="s">
        <v>87</v>
      </c>
      <c r="D17" t="s">
        <v>39</v>
      </c>
      <c r="E17" s="15">
        <v>4500</v>
      </c>
      <c r="F17" s="29">
        <v>15</v>
      </c>
      <c r="G17" s="18">
        <v>797</v>
      </c>
      <c r="H17" s="15"/>
      <c r="I17" s="67">
        <v>0.85</v>
      </c>
      <c r="J17" s="15"/>
      <c r="K17" s="15">
        <f t="shared" si="1"/>
        <v>4499.1499999999996</v>
      </c>
      <c r="L17" s="15">
        <v>0</v>
      </c>
      <c r="M17" s="15">
        <v>428.97</v>
      </c>
      <c r="N17" s="15">
        <v>428.97</v>
      </c>
      <c r="O17" s="15">
        <v>0</v>
      </c>
      <c r="P17" s="15">
        <f t="shared" si="2"/>
        <v>517.5</v>
      </c>
      <c r="Q17" s="15">
        <f t="shared" si="5"/>
        <v>1743.47</v>
      </c>
      <c r="R17" s="279">
        <f t="shared" si="3"/>
        <v>2755.6799999999994</v>
      </c>
      <c r="S17" s="11">
        <v>251.41</v>
      </c>
      <c r="T17" s="263">
        <f>+E17*17.5%+135</f>
        <v>922.5</v>
      </c>
      <c r="U17" s="263">
        <f t="shared" si="6"/>
        <v>90</v>
      </c>
      <c r="V17" s="35">
        <f t="shared" si="4"/>
        <v>1263.9100000000001</v>
      </c>
    </row>
    <row r="18" spans="2:22" ht="18.75" x14ac:dyDescent="0.3">
      <c r="B18" t="s">
        <v>116</v>
      </c>
      <c r="C18" s="133" t="s">
        <v>89</v>
      </c>
      <c r="D18" t="s">
        <v>4</v>
      </c>
      <c r="E18" s="15">
        <v>2700</v>
      </c>
      <c r="F18" s="29">
        <v>15</v>
      </c>
      <c r="G18" s="18">
        <v>600</v>
      </c>
      <c r="H18" s="15"/>
      <c r="I18" s="15"/>
      <c r="J18" s="15"/>
      <c r="K18" s="15">
        <f t="shared" si="1"/>
        <v>2700</v>
      </c>
      <c r="L18" s="15">
        <v>147.32</v>
      </c>
      <c r="M18" s="15">
        <v>188.33</v>
      </c>
      <c r="N18" s="15">
        <f t="shared" si="7"/>
        <v>41.010000000000019</v>
      </c>
      <c r="O18" s="15">
        <v>0</v>
      </c>
      <c r="P18" s="20">
        <f t="shared" si="2"/>
        <v>310.5</v>
      </c>
      <c r="Q18" s="15">
        <f t="shared" si="5"/>
        <v>951.51</v>
      </c>
      <c r="R18" s="279">
        <f t="shared" si="3"/>
        <v>1748.49</v>
      </c>
      <c r="S18" s="11">
        <v>240.25</v>
      </c>
      <c r="T18" s="263">
        <f>+E18*17.5%+81</f>
        <v>553.5</v>
      </c>
      <c r="U18" s="263">
        <f t="shared" si="6"/>
        <v>54</v>
      </c>
      <c r="V18" s="35">
        <f t="shared" si="4"/>
        <v>847.75</v>
      </c>
    </row>
    <row r="19" spans="2:22" ht="18.75" x14ac:dyDescent="0.3">
      <c r="B19" t="s">
        <v>117</v>
      </c>
      <c r="C19" s="133" t="s">
        <v>88</v>
      </c>
      <c r="D19" t="s">
        <v>40</v>
      </c>
      <c r="E19" s="15">
        <v>3150</v>
      </c>
      <c r="F19" s="29">
        <v>15</v>
      </c>
      <c r="G19" s="18">
        <v>525</v>
      </c>
      <c r="H19" s="15"/>
      <c r="I19" s="15"/>
      <c r="J19" s="15"/>
      <c r="K19" s="15">
        <f>E19-I19</f>
        <v>3150</v>
      </c>
      <c r="L19" s="15">
        <v>126.77</v>
      </c>
      <c r="M19" s="15">
        <v>237.29</v>
      </c>
      <c r="N19" s="15">
        <f t="shared" si="7"/>
        <v>110.52</v>
      </c>
      <c r="O19" s="15">
        <v>0</v>
      </c>
      <c r="P19" s="20">
        <f t="shared" si="2"/>
        <v>362.25</v>
      </c>
      <c r="Q19" s="15">
        <f t="shared" si="5"/>
        <v>997.77</v>
      </c>
      <c r="R19" s="279">
        <f t="shared" si="3"/>
        <v>2152.23</v>
      </c>
      <c r="S19" s="11">
        <v>243.04</v>
      </c>
      <c r="T19" s="263">
        <f>+E19*17.5%+94.5</f>
        <v>645.75</v>
      </c>
      <c r="U19" s="263">
        <f t="shared" si="6"/>
        <v>63</v>
      </c>
      <c r="V19" s="35">
        <f t="shared" si="4"/>
        <v>951.79</v>
      </c>
    </row>
    <row r="20" spans="2:22" ht="18.75" x14ac:dyDescent="0.3">
      <c r="B20" s="2" t="s">
        <v>26</v>
      </c>
      <c r="C20" s="270"/>
      <c r="D20" s="30"/>
      <c r="E20" s="34">
        <f>SUM(E12:E19)</f>
        <v>41550</v>
      </c>
      <c r="F20" s="34"/>
      <c r="G20" s="34">
        <f>+G19+G18+G17+G16+G12</f>
        <v>6256</v>
      </c>
      <c r="H20" s="34"/>
      <c r="I20" s="34">
        <f t="shared" ref="I20:V20" si="8">SUM(I12:I19)</f>
        <v>0.85</v>
      </c>
      <c r="J20" s="34">
        <f t="shared" si="8"/>
        <v>0</v>
      </c>
      <c r="K20" s="34">
        <f t="shared" si="8"/>
        <v>41549.15</v>
      </c>
      <c r="L20" s="34">
        <f t="shared" si="8"/>
        <v>274.08999999999997</v>
      </c>
      <c r="M20" s="34">
        <f t="shared" si="8"/>
        <v>4766.9900000000007</v>
      </c>
      <c r="N20" s="34">
        <f t="shared" si="8"/>
        <v>4494.3500000000013</v>
      </c>
      <c r="O20" s="34">
        <f t="shared" si="8"/>
        <v>0</v>
      </c>
      <c r="P20" s="34">
        <f>SUM(P12:P19)</f>
        <v>4778.25</v>
      </c>
      <c r="Q20" s="34">
        <f t="shared" si="8"/>
        <v>15528.6</v>
      </c>
      <c r="R20" s="264">
        <f>SUM(R12:R19)</f>
        <v>26020.55</v>
      </c>
      <c r="S20" s="34">
        <f t="shared" si="8"/>
        <v>2045.7200000000003</v>
      </c>
      <c r="T20" s="34">
        <f t="shared" si="8"/>
        <v>8517.75</v>
      </c>
      <c r="U20" s="34">
        <f t="shared" si="8"/>
        <v>831</v>
      </c>
      <c r="V20" s="34">
        <f t="shared" si="8"/>
        <v>11394.470000000001</v>
      </c>
    </row>
    <row r="21" spans="2:22" ht="18.75" hidden="1" x14ac:dyDescent="0.3">
      <c r="B21" s="2"/>
      <c r="C21" s="133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265"/>
    </row>
    <row r="22" spans="2:22" ht="18.75" x14ac:dyDescent="0.3">
      <c r="B22" s="2" t="s">
        <v>50</v>
      </c>
      <c r="C22" s="270" t="s">
        <v>160</v>
      </c>
      <c r="E22" s="15"/>
      <c r="F22" s="15"/>
      <c r="G22" s="15"/>
      <c r="H22" s="15"/>
      <c r="I22" s="15"/>
      <c r="J22" s="15"/>
      <c r="K22" s="113"/>
      <c r="L22" s="113"/>
      <c r="M22" s="15"/>
      <c r="N22" s="15"/>
      <c r="O22" s="15"/>
      <c r="P22" s="15"/>
      <c r="Q22" s="15"/>
      <c r="R22" s="265"/>
    </row>
    <row r="23" spans="2:22" ht="18.75" x14ac:dyDescent="0.3">
      <c r="B23" t="s">
        <v>119</v>
      </c>
      <c r="C23" s="133" t="s">
        <v>224</v>
      </c>
      <c r="D23" t="s">
        <v>76</v>
      </c>
      <c r="E23" s="15">
        <v>5350</v>
      </c>
      <c r="F23" s="29">
        <v>15</v>
      </c>
      <c r="G23" s="20"/>
      <c r="H23" s="15"/>
      <c r="I23" s="15"/>
      <c r="J23" s="15"/>
      <c r="K23" s="15">
        <f>E23-I23</f>
        <v>5350</v>
      </c>
      <c r="L23" s="15">
        <v>0</v>
      </c>
      <c r="M23" s="15">
        <v>588.20000000000005</v>
      </c>
      <c r="N23" s="15">
        <f>M23-L23</f>
        <v>588.20000000000005</v>
      </c>
      <c r="O23" s="15">
        <v>0</v>
      </c>
      <c r="P23" s="20"/>
      <c r="Q23" s="15">
        <f>SUM(N23:P23)+G23</f>
        <v>588.20000000000005</v>
      </c>
      <c r="R23" s="279">
        <f>K23-Q23</f>
        <v>4761.8</v>
      </c>
      <c r="S23" s="11">
        <v>256.68</v>
      </c>
      <c r="T23" s="263"/>
      <c r="U23" s="263"/>
      <c r="V23" s="35">
        <f t="shared" ref="V23" si="9">SUM(S23:U23)</f>
        <v>256.68</v>
      </c>
    </row>
    <row r="24" spans="2:22" ht="18.75" x14ac:dyDescent="0.3">
      <c r="B24" t="s">
        <v>120</v>
      </c>
      <c r="C24" s="133" t="s">
        <v>93</v>
      </c>
      <c r="D24" t="s">
        <v>78</v>
      </c>
      <c r="E24" s="15">
        <v>5350</v>
      </c>
      <c r="F24" s="29">
        <v>15</v>
      </c>
      <c r="G24" s="18">
        <v>1115</v>
      </c>
      <c r="H24" s="15"/>
      <c r="I24" s="71"/>
      <c r="J24" s="15"/>
      <c r="K24" s="15">
        <f>E24-I24</f>
        <v>5350</v>
      </c>
      <c r="L24" s="15">
        <v>0</v>
      </c>
      <c r="M24" s="15">
        <v>588.20000000000005</v>
      </c>
      <c r="N24" s="15">
        <f>M24-L24</f>
        <v>588.20000000000005</v>
      </c>
      <c r="O24" s="15">
        <v>0</v>
      </c>
      <c r="P24" s="20">
        <f>E24*0.115</f>
        <v>615.25</v>
      </c>
      <c r="Q24" s="15">
        <f>SUM(N24:P24)+G24</f>
        <v>2318.4499999999998</v>
      </c>
      <c r="R24" s="279">
        <f>K24-Q24</f>
        <v>3031.55</v>
      </c>
      <c r="S24" s="11">
        <v>256.68</v>
      </c>
      <c r="T24" s="263">
        <f>+E24*17.5%+160.5</f>
        <v>1096.75</v>
      </c>
      <c r="U24" s="263">
        <f t="shared" ref="U24:U25" si="10">+E24*2%</f>
        <v>107</v>
      </c>
      <c r="V24" s="35">
        <f>SUM(S24:U24)</f>
        <v>1460.43</v>
      </c>
    </row>
    <row r="25" spans="2:22" ht="18.75" x14ac:dyDescent="0.3">
      <c r="B25" t="s">
        <v>121</v>
      </c>
      <c r="C25" s="133" t="s">
        <v>114</v>
      </c>
      <c r="D25" t="s">
        <v>186</v>
      </c>
      <c r="E25" s="15">
        <v>5350</v>
      </c>
      <c r="F25" s="29">
        <v>15</v>
      </c>
      <c r="G25" s="18">
        <v>1189</v>
      </c>
      <c r="H25" s="15"/>
      <c r="I25" s="67">
        <v>19.53</v>
      </c>
      <c r="J25" s="15"/>
      <c r="K25" s="15">
        <f>E25-I25</f>
        <v>5330.47</v>
      </c>
      <c r="L25" s="15">
        <v>0</v>
      </c>
      <c r="M25" s="15">
        <v>588.20000000000005</v>
      </c>
      <c r="N25" s="15">
        <f>M25-L25</f>
        <v>588.20000000000005</v>
      </c>
      <c r="O25" s="15">
        <v>0</v>
      </c>
      <c r="P25" s="20">
        <f>E25*0.115</f>
        <v>615.25</v>
      </c>
      <c r="Q25" s="15">
        <f>SUM(N25:P25)+G25</f>
        <v>2392.4499999999998</v>
      </c>
      <c r="R25" s="279">
        <f>K25-Q25</f>
        <v>2938.0200000000004</v>
      </c>
      <c r="S25" s="11">
        <v>256.68</v>
      </c>
      <c r="T25" s="263">
        <f>+E25*17.5%+160.5</f>
        <v>1096.75</v>
      </c>
      <c r="U25" s="263">
        <f t="shared" si="10"/>
        <v>107</v>
      </c>
      <c r="V25" s="35">
        <f>SUM(S25:U25)</f>
        <v>1460.43</v>
      </c>
    </row>
    <row r="26" spans="2:22" ht="18.75" x14ac:dyDescent="0.3">
      <c r="B26" s="2" t="s">
        <v>26</v>
      </c>
      <c r="C26" s="270"/>
      <c r="D26" s="30"/>
      <c r="E26" s="34">
        <f>SUM(E23:E25)</f>
        <v>16050</v>
      </c>
      <c r="F26" s="34"/>
      <c r="G26" s="34">
        <f>+G25+G24+G23</f>
        <v>2304</v>
      </c>
      <c r="H26" s="34"/>
      <c r="I26" s="34">
        <f>SUM(I23:I25)</f>
        <v>19.53</v>
      </c>
      <c r="J26" s="34">
        <f>SUM(J23:J25)</f>
        <v>0</v>
      </c>
      <c r="K26" s="34">
        <f t="shared" ref="K26:V26" si="11">SUM(K23:K25)</f>
        <v>16030.470000000001</v>
      </c>
      <c r="L26" s="34">
        <f t="shared" si="11"/>
        <v>0</v>
      </c>
      <c r="M26" s="34">
        <f t="shared" si="11"/>
        <v>1764.6000000000001</v>
      </c>
      <c r="N26" s="34">
        <f t="shared" si="11"/>
        <v>1764.6000000000001</v>
      </c>
      <c r="O26" s="34">
        <f t="shared" si="11"/>
        <v>0</v>
      </c>
      <c r="P26" s="34">
        <f>SUM(P23:P25)</f>
        <v>1230.5</v>
      </c>
      <c r="Q26" s="34">
        <f t="shared" si="11"/>
        <v>5299.0999999999995</v>
      </c>
      <c r="R26" s="264">
        <f>SUM(R23:R25)</f>
        <v>10731.37</v>
      </c>
      <c r="S26" s="34">
        <f t="shared" si="11"/>
        <v>770.04</v>
      </c>
      <c r="T26" s="34">
        <f t="shared" si="11"/>
        <v>2193.5</v>
      </c>
      <c r="U26" s="34">
        <f t="shared" si="11"/>
        <v>214</v>
      </c>
      <c r="V26" s="34">
        <f t="shared" si="11"/>
        <v>3177.54</v>
      </c>
    </row>
    <row r="27" spans="2:22" ht="18.75" hidden="1" x14ac:dyDescent="0.3">
      <c r="C27" s="133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265"/>
    </row>
    <row r="28" spans="2:22" ht="18.75" x14ac:dyDescent="0.3">
      <c r="B28" s="2" t="s">
        <v>63</v>
      </c>
      <c r="C28" s="270" t="s">
        <v>51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265"/>
    </row>
    <row r="29" spans="2:22" ht="18.75" x14ac:dyDescent="0.3">
      <c r="B29" t="s">
        <v>122</v>
      </c>
      <c r="C29" s="133" t="s">
        <v>97</v>
      </c>
      <c r="D29" t="s">
        <v>80</v>
      </c>
      <c r="E29" s="15">
        <v>5350</v>
      </c>
      <c r="F29" s="29">
        <v>15</v>
      </c>
      <c r="G29" s="15"/>
      <c r="H29" s="15"/>
      <c r="I29" s="71"/>
      <c r="J29" s="15"/>
      <c r="K29" s="15">
        <f t="shared" ref="K29:K38" si="12">E29-I29</f>
        <v>5350</v>
      </c>
      <c r="L29" s="15">
        <v>0</v>
      </c>
      <c r="M29" s="15">
        <v>588.20000000000005</v>
      </c>
      <c r="N29" s="15">
        <f>M29-L29</f>
        <v>588.20000000000005</v>
      </c>
      <c r="O29" s="15">
        <v>0</v>
      </c>
      <c r="P29" s="20">
        <f>E29*0.115</f>
        <v>615.25</v>
      </c>
      <c r="Q29" s="15">
        <f>SUM(N29:P29)+G29</f>
        <v>1203.45</v>
      </c>
      <c r="R29" s="279">
        <f>K29-Q29</f>
        <v>4146.55</v>
      </c>
      <c r="S29" s="11">
        <v>256.68</v>
      </c>
      <c r="T29" s="263">
        <f t="shared" ref="T29:T39" si="13">+E29*17.5%+160.5</f>
        <v>1096.75</v>
      </c>
      <c r="U29" s="263">
        <f t="shared" ref="U29:U39" si="14">+E29*2%</f>
        <v>107</v>
      </c>
      <c r="V29" s="35">
        <f>SUM(S29:U29)</f>
        <v>1460.43</v>
      </c>
    </row>
    <row r="30" spans="2:22" ht="18.75" x14ac:dyDescent="0.3">
      <c r="B30" t="s">
        <v>123</v>
      </c>
      <c r="C30" s="133" t="s">
        <v>100</v>
      </c>
      <c r="D30" t="s">
        <v>80</v>
      </c>
      <c r="E30" s="15">
        <v>5350</v>
      </c>
      <c r="F30" s="29">
        <v>15</v>
      </c>
      <c r="G30" s="18">
        <v>904</v>
      </c>
      <c r="H30" s="15"/>
      <c r="I30" s="77"/>
      <c r="J30" s="20"/>
      <c r="K30" s="20">
        <f t="shared" si="12"/>
        <v>5350</v>
      </c>
      <c r="L30" s="20">
        <v>0</v>
      </c>
      <c r="M30" s="20">
        <v>588.20000000000005</v>
      </c>
      <c r="N30" s="20">
        <v>588.20000000000005</v>
      </c>
      <c r="O30" s="15">
        <v>0</v>
      </c>
      <c r="P30" s="20">
        <f t="shared" ref="P30:P39" si="15">E30*0.115</f>
        <v>615.25</v>
      </c>
      <c r="Q30" s="15">
        <f t="shared" ref="Q30:Q39" si="16">SUM(N30:P30)+G30</f>
        <v>2107.4499999999998</v>
      </c>
      <c r="R30" s="279">
        <f t="shared" ref="R30:R39" si="17">K30-Q30</f>
        <v>3242.55</v>
      </c>
      <c r="S30" s="11">
        <v>256.68</v>
      </c>
      <c r="T30" s="263">
        <f t="shared" si="13"/>
        <v>1096.75</v>
      </c>
      <c r="U30" s="263">
        <f t="shared" si="14"/>
        <v>107</v>
      </c>
      <c r="V30" s="35">
        <f>SUM(S30:U30)</f>
        <v>1460.43</v>
      </c>
    </row>
    <row r="31" spans="2:22" ht="18.75" x14ac:dyDescent="0.3">
      <c r="B31" t="s">
        <v>124</v>
      </c>
      <c r="C31" s="133" t="s">
        <v>96</v>
      </c>
      <c r="D31" t="s">
        <v>78</v>
      </c>
      <c r="E31" s="15">
        <v>5350</v>
      </c>
      <c r="F31" s="29">
        <v>15</v>
      </c>
      <c r="G31" s="15"/>
      <c r="H31" s="15"/>
      <c r="I31" s="20"/>
      <c r="J31" s="20"/>
      <c r="K31" s="20">
        <f t="shared" si="12"/>
        <v>5350</v>
      </c>
      <c r="L31" s="20">
        <v>0</v>
      </c>
      <c r="M31" s="20">
        <v>588.20000000000005</v>
      </c>
      <c r="N31" s="20">
        <f t="shared" ref="N31:N39" si="18">M31-L31</f>
        <v>588.20000000000005</v>
      </c>
      <c r="O31" s="15">
        <v>0</v>
      </c>
      <c r="P31" s="20">
        <f t="shared" si="15"/>
        <v>615.25</v>
      </c>
      <c r="Q31" s="15">
        <f t="shared" si="16"/>
        <v>1203.45</v>
      </c>
      <c r="R31" s="279">
        <f t="shared" si="17"/>
        <v>4146.55</v>
      </c>
      <c r="S31" s="11">
        <v>256.68</v>
      </c>
      <c r="T31" s="263">
        <f t="shared" si="13"/>
        <v>1096.75</v>
      </c>
      <c r="U31" s="263">
        <f t="shared" si="14"/>
        <v>107</v>
      </c>
      <c r="V31" s="35">
        <f>SUM(S31:U31)</f>
        <v>1460.43</v>
      </c>
    </row>
    <row r="32" spans="2:22" ht="18.75" x14ac:dyDescent="0.3">
      <c r="B32" t="s">
        <v>125</v>
      </c>
      <c r="C32" s="133" t="s">
        <v>225</v>
      </c>
      <c r="D32" t="s">
        <v>78</v>
      </c>
      <c r="E32" s="15">
        <v>5350</v>
      </c>
      <c r="F32" s="29">
        <v>15</v>
      </c>
      <c r="G32" s="15"/>
      <c r="H32" s="15"/>
      <c r="I32" s="20"/>
      <c r="J32" s="20"/>
      <c r="K32" s="20">
        <f t="shared" si="12"/>
        <v>5350</v>
      </c>
      <c r="L32" s="20">
        <v>0</v>
      </c>
      <c r="M32" s="20">
        <v>588.20000000000005</v>
      </c>
      <c r="N32" s="20">
        <f t="shared" si="18"/>
        <v>588.20000000000005</v>
      </c>
      <c r="O32" s="15">
        <v>0</v>
      </c>
      <c r="P32" s="20"/>
      <c r="Q32" s="15">
        <f t="shared" si="16"/>
        <v>588.20000000000005</v>
      </c>
      <c r="R32" s="279">
        <f t="shared" si="17"/>
        <v>4761.8</v>
      </c>
      <c r="S32" s="11">
        <v>256.68</v>
      </c>
      <c r="T32" s="263"/>
      <c r="U32" s="263"/>
      <c r="V32" s="35">
        <f t="shared" ref="V32:V39" si="19">SUM(S32:U32)</f>
        <v>256.68</v>
      </c>
    </row>
    <row r="33" spans="2:22" ht="18.75" x14ac:dyDescent="0.3">
      <c r="B33" t="s">
        <v>126</v>
      </c>
      <c r="C33" s="133" t="s">
        <v>94</v>
      </c>
      <c r="D33" t="s">
        <v>81</v>
      </c>
      <c r="E33" s="15">
        <v>5350</v>
      </c>
      <c r="F33" s="29">
        <v>15</v>
      </c>
      <c r="G33" s="18">
        <v>595</v>
      </c>
      <c r="H33" s="15"/>
      <c r="I33" s="20"/>
      <c r="J33" s="20"/>
      <c r="K33" s="20">
        <f>E33-I33</f>
        <v>5350</v>
      </c>
      <c r="L33" s="20">
        <v>0</v>
      </c>
      <c r="M33" s="20">
        <v>588.20000000000005</v>
      </c>
      <c r="N33" s="20">
        <v>588.02</v>
      </c>
      <c r="O33" s="15">
        <v>0</v>
      </c>
      <c r="P33" s="20">
        <f t="shared" si="15"/>
        <v>615.25</v>
      </c>
      <c r="Q33" s="15">
        <f t="shared" si="16"/>
        <v>1798.27</v>
      </c>
      <c r="R33" s="279">
        <f>K33-Q33</f>
        <v>3551.73</v>
      </c>
      <c r="S33" s="11">
        <v>256.68</v>
      </c>
      <c r="T33" s="263">
        <f t="shared" si="13"/>
        <v>1096.75</v>
      </c>
      <c r="U33" s="263">
        <f t="shared" si="14"/>
        <v>107</v>
      </c>
      <c r="V33" s="35">
        <f t="shared" si="19"/>
        <v>1460.43</v>
      </c>
    </row>
    <row r="34" spans="2:22" ht="18.75" x14ac:dyDescent="0.3">
      <c r="B34" t="s">
        <v>127</v>
      </c>
      <c r="C34" s="133" t="s">
        <v>98</v>
      </c>
      <c r="D34" t="s">
        <v>81</v>
      </c>
      <c r="E34" s="15">
        <v>5350</v>
      </c>
      <c r="F34" s="29">
        <v>15</v>
      </c>
      <c r="G34" s="15"/>
      <c r="H34" s="20"/>
      <c r="I34" s="20"/>
      <c r="J34" s="20"/>
      <c r="K34" s="20">
        <f>E34-I34</f>
        <v>5350</v>
      </c>
      <c r="L34" s="20">
        <v>0</v>
      </c>
      <c r="M34" s="20">
        <v>588.20000000000005</v>
      </c>
      <c r="N34" s="20">
        <f t="shared" si="18"/>
        <v>588.20000000000005</v>
      </c>
      <c r="O34" s="15">
        <v>0</v>
      </c>
      <c r="P34" s="20">
        <f>E34*0.115</f>
        <v>615.25</v>
      </c>
      <c r="Q34" s="15">
        <f>SUM(N34:P34)+G34</f>
        <v>1203.45</v>
      </c>
      <c r="R34" s="279">
        <f>K34-Q34</f>
        <v>4146.55</v>
      </c>
      <c r="S34" s="11">
        <v>256.68</v>
      </c>
      <c r="T34" s="263">
        <f t="shared" si="13"/>
        <v>1096.75</v>
      </c>
      <c r="U34" s="263">
        <f t="shared" si="14"/>
        <v>107</v>
      </c>
      <c r="V34" s="35">
        <f t="shared" si="19"/>
        <v>1460.43</v>
      </c>
    </row>
    <row r="35" spans="2:22" ht="18.75" x14ac:dyDescent="0.3">
      <c r="B35" t="s">
        <v>128</v>
      </c>
      <c r="C35" s="133" t="s">
        <v>101</v>
      </c>
      <c r="D35" t="s">
        <v>81</v>
      </c>
      <c r="E35" s="15">
        <v>5350</v>
      </c>
      <c r="F35" s="29">
        <v>15</v>
      </c>
      <c r="G35" s="15"/>
      <c r="H35" s="15"/>
      <c r="I35" s="67">
        <v>1.7</v>
      </c>
      <c r="J35" s="20"/>
      <c r="K35" s="20">
        <f>E35-I35</f>
        <v>5348.3</v>
      </c>
      <c r="L35" s="20">
        <v>0</v>
      </c>
      <c r="M35" s="15">
        <v>588.20000000000005</v>
      </c>
      <c r="N35" s="15">
        <f>M35-L35</f>
        <v>588.20000000000005</v>
      </c>
      <c r="O35" s="15">
        <v>0</v>
      </c>
      <c r="P35" s="20">
        <f t="shared" si="15"/>
        <v>615.25</v>
      </c>
      <c r="Q35" s="15">
        <f>SUM(N35:P35)+G35</f>
        <v>1203.45</v>
      </c>
      <c r="R35" s="279">
        <f>K35-Q35</f>
        <v>4144.8500000000004</v>
      </c>
      <c r="S35" s="11">
        <v>256.68</v>
      </c>
      <c r="T35" s="263">
        <f t="shared" si="13"/>
        <v>1096.75</v>
      </c>
      <c r="U35" s="263">
        <f t="shared" si="14"/>
        <v>107</v>
      </c>
      <c r="V35" s="35">
        <f t="shared" si="19"/>
        <v>1460.43</v>
      </c>
    </row>
    <row r="36" spans="2:22" ht="18.75" x14ac:dyDescent="0.3">
      <c r="B36" t="s">
        <v>129</v>
      </c>
      <c r="C36" s="133" t="s">
        <v>95</v>
      </c>
      <c r="D36" t="s">
        <v>82</v>
      </c>
      <c r="E36" s="15">
        <v>5350</v>
      </c>
      <c r="F36" s="29">
        <v>15</v>
      </c>
      <c r="G36" s="18">
        <v>1190</v>
      </c>
      <c r="H36" s="15"/>
      <c r="I36" s="20"/>
      <c r="J36" s="15"/>
      <c r="K36" s="15">
        <f t="shared" si="12"/>
        <v>5350</v>
      </c>
      <c r="L36" s="15">
        <v>0</v>
      </c>
      <c r="M36" s="15">
        <v>588.20000000000005</v>
      </c>
      <c r="N36" s="15">
        <f t="shared" si="18"/>
        <v>588.20000000000005</v>
      </c>
      <c r="O36" s="15">
        <v>0</v>
      </c>
      <c r="P36" s="20">
        <f t="shared" si="15"/>
        <v>615.25</v>
      </c>
      <c r="Q36" s="15">
        <f t="shared" si="16"/>
        <v>2393.4499999999998</v>
      </c>
      <c r="R36" s="279">
        <f t="shared" si="17"/>
        <v>2956.55</v>
      </c>
      <c r="S36" s="11">
        <v>256.68</v>
      </c>
      <c r="T36" s="263">
        <f t="shared" si="13"/>
        <v>1096.75</v>
      </c>
      <c r="U36" s="263">
        <f t="shared" si="14"/>
        <v>107</v>
      </c>
      <c r="V36" s="35">
        <f t="shared" si="19"/>
        <v>1460.43</v>
      </c>
    </row>
    <row r="37" spans="2:22" ht="18.75" x14ac:dyDescent="0.3">
      <c r="B37" t="s">
        <v>130</v>
      </c>
      <c r="C37" s="133" t="s">
        <v>102</v>
      </c>
      <c r="D37" t="s">
        <v>82</v>
      </c>
      <c r="E37" s="15">
        <v>5350</v>
      </c>
      <c r="F37" s="29">
        <v>15</v>
      </c>
      <c r="G37" s="20"/>
      <c r="H37" s="15"/>
      <c r="I37" s="67">
        <v>0.85</v>
      </c>
      <c r="J37" s="15"/>
      <c r="K37" s="15">
        <f>E37-I37</f>
        <v>5349.15</v>
      </c>
      <c r="L37" s="15">
        <v>0</v>
      </c>
      <c r="M37" s="15">
        <v>588.20000000000005</v>
      </c>
      <c r="N37" s="15">
        <v>588.20000000000005</v>
      </c>
      <c r="O37" s="15">
        <v>0</v>
      </c>
      <c r="P37" s="20">
        <f t="shared" si="15"/>
        <v>615.25</v>
      </c>
      <c r="Q37" s="15">
        <f>SUM(N37:P37)+G37</f>
        <v>1203.45</v>
      </c>
      <c r="R37" s="279">
        <f t="shared" si="17"/>
        <v>4145.7</v>
      </c>
      <c r="S37" s="11">
        <v>256.68</v>
      </c>
      <c r="T37" s="263">
        <f t="shared" si="13"/>
        <v>1096.75</v>
      </c>
      <c r="U37" s="263">
        <f t="shared" si="14"/>
        <v>107</v>
      </c>
      <c r="V37" s="35">
        <f t="shared" si="19"/>
        <v>1460.43</v>
      </c>
    </row>
    <row r="38" spans="2:22" ht="18.75" x14ac:dyDescent="0.3">
      <c r="B38" t="s">
        <v>131</v>
      </c>
      <c r="C38" s="133" t="s">
        <v>85</v>
      </c>
      <c r="D38" t="s">
        <v>83</v>
      </c>
      <c r="E38" s="15">
        <v>5350</v>
      </c>
      <c r="F38" s="29">
        <v>15</v>
      </c>
      <c r="G38" s="18">
        <v>1784</v>
      </c>
      <c r="H38" s="15"/>
      <c r="I38" s="15"/>
      <c r="J38" s="15"/>
      <c r="K38" s="15">
        <f t="shared" si="12"/>
        <v>5350</v>
      </c>
      <c r="L38" s="15">
        <v>0</v>
      </c>
      <c r="M38" s="15">
        <v>588.20000000000005</v>
      </c>
      <c r="N38" s="15">
        <f t="shared" si="18"/>
        <v>588.20000000000005</v>
      </c>
      <c r="O38" s="15">
        <v>0</v>
      </c>
      <c r="P38" s="20">
        <f t="shared" si="15"/>
        <v>615.25</v>
      </c>
      <c r="Q38" s="15">
        <f t="shared" si="16"/>
        <v>2987.45</v>
      </c>
      <c r="R38" s="279">
        <f t="shared" si="17"/>
        <v>2362.5500000000002</v>
      </c>
      <c r="S38" s="11">
        <v>256.68</v>
      </c>
      <c r="T38" s="263">
        <f t="shared" si="13"/>
        <v>1096.75</v>
      </c>
      <c r="U38" s="263">
        <f t="shared" si="14"/>
        <v>107</v>
      </c>
      <c r="V38" s="35">
        <f t="shared" si="19"/>
        <v>1460.43</v>
      </c>
    </row>
    <row r="39" spans="2:22" ht="18.75" x14ac:dyDescent="0.3">
      <c r="B39" t="s">
        <v>132</v>
      </c>
      <c r="C39" s="133" t="s">
        <v>103</v>
      </c>
      <c r="D39" t="s">
        <v>83</v>
      </c>
      <c r="E39" s="15">
        <v>5350</v>
      </c>
      <c r="F39" s="29">
        <v>15</v>
      </c>
      <c r="G39" s="20"/>
      <c r="H39" s="15"/>
      <c r="I39" s="67">
        <v>0.85</v>
      </c>
      <c r="J39" s="15"/>
      <c r="K39" s="15">
        <f>E39-I39</f>
        <v>5349.15</v>
      </c>
      <c r="L39" s="15">
        <v>0</v>
      </c>
      <c r="M39" s="15">
        <v>588.20000000000005</v>
      </c>
      <c r="N39" s="15">
        <f t="shared" si="18"/>
        <v>588.20000000000005</v>
      </c>
      <c r="O39" s="15">
        <v>0</v>
      </c>
      <c r="P39" s="20">
        <f t="shared" si="15"/>
        <v>615.25</v>
      </c>
      <c r="Q39" s="15">
        <f t="shared" si="16"/>
        <v>1203.45</v>
      </c>
      <c r="R39" s="279">
        <f t="shared" si="17"/>
        <v>4145.7</v>
      </c>
      <c r="S39" s="11">
        <v>256.68</v>
      </c>
      <c r="T39" s="263">
        <f t="shared" si="13"/>
        <v>1096.75</v>
      </c>
      <c r="U39" s="263">
        <f t="shared" si="14"/>
        <v>107</v>
      </c>
      <c r="V39" s="35">
        <f t="shared" si="19"/>
        <v>1460.43</v>
      </c>
    </row>
    <row r="40" spans="2:22" ht="18.75" x14ac:dyDescent="0.3">
      <c r="B40" s="2" t="s">
        <v>26</v>
      </c>
      <c r="C40" s="270"/>
      <c r="D40" s="30"/>
      <c r="E40" s="34">
        <f>SUM(E29:E39)</f>
        <v>58850</v>
      </c>
      <c r="F40" s="34"/>
      <c r="G40" s="34">
        <f>+G39+G38+G37+G36+G35+G34+G33+G30</f>
        <v>4473</v>
      </c>
      <c r="H40" s="34"/>
      <c r="I40" s="34">
        <f>SUM(I29:I39)</f>
        <v>3.4</v>
      </c>
      <c r="J40" s="34">
        <f>SUM(J29:J39)</f>
        <v>0</v>
      </c>
      <c r="K40" s="34">
        <f>SUM(K29:K39)</f>
        <v>58846.600000000006</v>
      </c>
      <c r="L40" s="34">
        <f t="shared" ref="L40:Q40" si="20">SUM(L29:L39)</f>
        <v>0</v>
      </c>
      <c r="M40" s="34">
        <f t="shared" si="20"/>
        <v>6470.1999999999989</v>
      </c>
      <c r="N40" s="34">
        <f t="shared" si="20"/>
        <v>6470.0199999999995</v>
      </c>
      <c r="O40" s="34">
        <f t="shared" si="20"/>
        <v>0</v>
      </c>
      <c r="P40" s="34">
        <f>SUM(P29:P39)</f>
        <v>6152.5</v>
      </c>
      <c r="Q40" s="34">
        <f t="shared" si="20"/>
        <v>17095.52</v>
      </c>
      <c r="R40" s="264">
        <f>SUM(R29:R39)</f>
        <v>41751.08</v>
      </c>
      <c r="S40" s="34">
        <f>SUM(S29:S39)</f>
        <v>2823.4799999999996</v>
      </c>
      <c r="T40" s="34">
        <f>SUM(T29:T39)</f>
        <v>10967.5</v>
      </c>
      <c r="U40" s="34">
        <f>SUM(U29:U39)</f>
        <v>1070</v>
      </c>
      <c r="V40" s="34">
        <f>SUM(V29:V39)</f>
        <v>14860.980000000001</v>
      </c>
    </row>
    <row r="41" spans="2:22" ht="18.75" hidden="1" x14ac:dyDescent="0.3">
      <c r="C41" s="133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265"/>
    </row>
    <row r="42" spans="2:22" ht="18.75" x14ac:dyDescent="0.3">
      <c r="B42" s="2" t="s">
        <v>140</v>
      </c>
      <c r="C42" s="270" t="s">
        <v>64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265"/>
    </row>
    <row r="43" spans="2:22" ht="18.75" x14ac:dyDescent="0.3">
      <c r="B43" t="s">
        <v>133</v>
      </c>
      <c r="C43" s="133" t="s">
        <v>104</v>
      </c>
      <c r="D43" t="s">
        <v>80</v>
      </c>
      <c r="E43" s="15">
        <v>5350</v>
      </c>
      <c r="F43" s="29">
        <v>15</v>
      </c>
      <c r="G43" s="15"/>
      <c r="H43" s="15"/>
      <c r="I43" s="67">
        <v>0.85</v>
      </c>
      <c r="J43" s="20"/>
      <c r="K43" s="20">
        <f>E43-I43</f>
        <v>5349.15</v>
      </c>
      <c r="L43" s="20">
        <v>0</v>
      </c>
      <c r="M43" s="15">
        <v>588.20000000000005</v>
      </c>
      <c r="N43" s="15">
        <v>588.20000000000005</v>
      </c>
      <c r="O43" s="15">
        <v>0</v>
      </c>
      <c r="P43" s="15">
        <f t="shared" ref="P43" si="21">E43*0.115</f>
        <v>615.25</v>
      </c>
      <c r="Q43" s="15">
        <f>SUM(N43:P43)+G43</f>
        <v>1203.45</v>
      </c>
      <c r="R43" s="279">
        <f>K43-Q43</f>
        <v>4145.7</v>
      </c>
      <c r="S43" s="11">
        <v>256.68</v>
      </c>
      <c r="T43" s="263">
        <f t="shared" ref="T43" si="22">+E43*17.5%+160.5</f>
        <v>1096.75</v>
      </c>
      <c r="U43" s="263">
        <f t="shared" ref="U43:U44" si="23">+E43*2%</f>
        <v>107</v>
      </c>
      <c r="V43" s="35">
        <f t="shared" ref="V43:V44" si="24">SUM(S43:U43)</f>
        <v>1460.43</v>
      </c>
    </row>
    <row r="44" spans="2:22" ht="18.75" x14ac:dyDescent="0.3">
      <c r="B44" t="s">
        <v>152</v>
      </c>
      <c r="C44" s="133" t="s">
        <v>92</v>
      </c>
      <c r="D44" t="s">
        <v>80</v>
      </c>
      <c r="E44" s="15">
        <v>5350</v>
      </c>
      <c r="F44" s="29">
        <v>15</v>
      </c>
      <c r="G44" s="15"/>
      <c r="H44" s="15"/>
      <c r="I44" s="67">
        <v>0.85</v>
      </c>
      <c r="J44" s="15"/>
      <c r="K44" s="15">
        <f>E44-I44</f>
        <v>5349.15</v>
      </c>
      <c r="L44" s="15">
        <v>0</v>
      </c>
      <c r="M44" s="15">
        <v>588.20000000000005</v>
      </c>
      <c r="N44" s="15">
        <v>588.20000000000005</v>
      </c>
      <c r="O44" s="15">
        <v>0</v>
      </c>
      <c r="P44" s="15">
        <v>615.25</v>
      </c>
      <c r="Q44" s="15">
        <f>SUM(N44:P44)+G44</f>
        <v>1203.45</v>
      </c>
      <c r="R44" s="279">
        <f>K44-Q44</f>
        <v>4145.7</v>
      </c>
      <c r="S44" s="11">
        <v>256.68</v>
      </c>
      <c r="T44" s="263">
        <f>+E44*17.5%+160.5</f>
        <v>1096.75</v>
      </c>
      <c r="U44" s="263">
        <f t="shared" si="23"/>
        <v>107</v>
      </c>
      <c r="V44" s="35">
        <f t="shared" si="24"/>
        <v>1460.43</v>
      </c>
    </row>
    <row r="45" spans="2:22" ht="18.75" x14ac:dyDescent="0.3">
      <c r="B45" t="s">
        <v>220</v>
      </c>
      <c r="C45" s="133" t="s">
        <v>221</v>
      </c>
      <c r="D45" t="s">
        <v>222</v>
      </c>
      <c r="E45" s="15">
        <v>5350</v>
      </c>
      <c r="F45" s="29">
        <v>15</v>
      </c>
      <c r="G45" s="15"/>
      <c r="H45" s="15"/>
      <c r="I45" s="15"/>
      <c r="J45" s="15"/>
      <c r="K45" s="15">
        <f>E45-I45</f>
        <v>5350</v>
      </c>
      <c r="L45" s="15">
        <v>0</v>
      </c>
      <c r="M45" s="15">
        <v>588.20000000000005</v>
      </c>
      <c r="N45" s="15">
        <v>588.20000000000005</v>
      </c>
      <c r="O45" s="15">
        <v>0</v>
      </c>
      <c r="P45" s="15"/>
      <c r="Q45" s="15">
        <f>SUM(N45:P45)+G45</f>
        <v>588.20000000000005</v>
      </c>
      <c r="R45" s="279">
        <f>K45-Q45</f>
        <v>4761.8</v>
      </c>
      <c r="S45" s="11">
        <v>256.68</v>
      </c>
      <c r="T45" s="263"/>
      <c r="U45" s="263"/>
      <c r="V45" s="35">
        <f t="shared" ref="V45" si="25">SUM(S45:U45)</f>
        <v>256.68</v>
      </c>
    </row>
    <row r="46" spans="2:22" ht="18.75" x14ac:dyDescent="0.3">
      <c r="B46" s="2" t="s">
        <v>26</v>
      </c>
      <c r="C46" s="270"/>
      <c r="D46" s="30"/>
      <c r="E46" s="34">
        <f>E43+E44+E45</f>
        <v>16050</v>
      </c>
      <c r="F46" s="34"/>
      <c r="G46" s="34">
        <f t="shared" ref="G46:V46" si="26">G43+G44+G45</f>
        <v>0</v>
      </c>
      <c r="H46" s="34">
        <f t="shared" si="26"/>
        <v>0</v>
      </c>
      <c r="I46" s="34">
        <f t="shared" si="26"/>
        <v>1.7</v>
      </c>
      <c r="J46" s="34">
        <f t="shared" si="26"/>
        <v>0</v>
      </c>
      <c r="K46" s="34">
        <f t="shared" si="26"/>
        <v>16048.3</v>
      </c>
      <c r="L46" s="34">
        <f t="shared" si="26"/>
        <v>0</v>
      </c>
      <c r="M46" s="34">
        <f t="shared" si="26"/>
        <v>1764.6000000000001</v>
      </c>
      <c r="N46" s="34">
        <f t="shared" si="26"/>
        <v>1764.6000000000001</v>
      </c>
      <c r="O46" s="34">
        <f t="shared" si="26"/>
        <v>0</v>
      </c>
      <c r="P46" s="34">
        <f t="shared" si="26"/>
        <v>1230.5</v>
      </c>
      <c r="Q46" s="34">
        <f t="shared" si="26"/>
        <v>2995.1000000000004</v>
      </c>
      <c r="R46" s="264">
        <f>R43+R44+R45</f>
        <v>13053.2</v>
      </c>
      <c r="S46" s="34">
        <f t="shared" si="26"/>
        <v>770.04</v>
      </c>
      <c r="T46" s="34">
        <f t="shared" si="26"/>
        <v>2193.5</v>
      </c>
      <c r="U46" s="34">
        <f t="shared" si="26"/>
        <v>214</v>
      </c>
      <c r="V46" s="34">
        <f t="shared" si="26"/>
        <v>3177.54</v>
      </c>
    </row>
    <row r="47" spans="2:22" ht="18.75" hidden="1" x14ac:dyDescent="0.3">
      <c r="B47" s="2"/>
      <c r="C47" s="133"/>
      <c r="E47" s="15"/>
      <c r="F47" s="15"/>
      <c r="G47" s="15"/>
      <c r="H47" s="15"/>
      <c r="I47" s="15"/>
      <c r="J47" s="15"/>
      <c r="K47" s="16"/>
      <c r="L47" s="16"/>
      <c r="M47" s="16"/>
      <c r="N47" s="16"/>
      <c r="O47" s="16"/>
      <c r="P47" s="16"/>
      <c r="Q47" s="16"/>
      <c r="R47" s="267"/>
      <c r="S47" s="8"/>
      <c r="T47" s="8"/>
      <c r="U47" s="8"/>
      <c r="V47" s="8"/>
    </row>
    <row r="48" spans="2:22" ht="18.75" x14ac:dyDescent="0.3">
      <c r="B48" s="2" t="s">
        <v>161</v>
      </c>
      <c r="C48" s="270" t="s">
        <v>162</v>
      </c>
      <c r="E48" s="15"/>
      <c r="F48" s="15"/>
      <c r="G48" s="15"/>
      <c r="H48" s="15"/>
      <c r="I48" s="15"/>
      <c r="J48" s="15"/>
      <c r="K48" s="16"/>
      <c r="L48" s="16"/>
      <c r="M48" s="16"/>
      <c r="N48" s="16"/>
      <c r="O48" s="16"/>
      <c r="P48" s="16"/>
      <c r="Q48" s="16"/>
      <c r="R48" s="267"/>
      <c r="S48" s="8"/>
      <c r="T48" s="8"/>
      <c r="U48" s="8"/>
      <c r="V48" s="8"/>
    </row>
    <row r="49" spans="2:22" ht="18.75" x14ac:dyDescent="0.3">
      <c r="B49" t="s">
        <v>163</v>
      </c>
      <c r="C49" s="269" t="s">
        <v>42</v>
      </c>
      <c r="D49" t="s">
        <v>2</v>
      </c>
      <c r="E49" s="15">
        <v>10000</v>
      </c>
      <c r="F49" s="29">
        <v>15</v>
      </c>
      <c r="G49" s="15"/>
      <c r="H49" s="15"/>
      <c r="I49" s="15"/>
      <c r="J49" s="15"/>
      <c r="K49" s="15">
        <f>E49-I49</f>
        <v>10000</v>
      </c>
      <c r="L49" s="15">
        <v>0</v>
      </c>
      <c r="M49" s="15">
        <v>1581.44</v>
      </c>
      <c r="N49" s="15">
        <f>M49-L49</f>
        <v>1581.44</v>
      </c>
      <c r="O49" s="15">
        <v>0</v>
      </c>
      <c r="P49" s="15">
        <f>E49*0.115</f>
        <v>1150</v>
      </c>
      <c r="Q49" s="15">
        <f>SUM(N49:P49)+G49</f>
        <v>2731.44</v>
      </c>
      <c r="R49" s="279">
        <f>K49-Q49</f>
        <v>7268.5599999999995</v>
      </c>
      <c r="S49" s="11">
        <v>285.52999999999997</v>
      </c>
      <c r="T49" s="263">
        <f>+E49*17.5%+300</f>
        <v>2050</v>
      </c>
      <c r="U49" s="263">
        <f t="shared" ref="U49" si="27">+E49*2%</f>
        <v>200</v>
      </c>
      <c r="V49" s="35">
        <f t="shared" ref="V49" si="28">SUM(S49:U49)</f>
        <v>2535.5299999999997</v>
      </c>
    </row>
    <row r="50" spans="2:22" ht="18.75" x14ac:dyDescent="0.3">
      <c r="B50" s="2" t="s">
        <v>26</v>
      </c>
      <c r="E50" s="34">
        <f>E49</f>
        <v>10000</v>
      </c>
      <c r="F50" s="34"/>
      <c r="G50" s="34">
        <f>+G49</f>
        <v>0</v>
      </c>
      <c r="H50" s="34"/>
      <c r="I50" s="34">
        <f>I49</f>
        <v>0</v>
      </c>
      <c r="J50" s="34">
        <f>J49</f>
        <v>0</v>
      </c>
      <c r="K50" s="34">
        <f>K49</f>
        <v>10000</v>
      </c>
      <c r="L50" s="34">
        <f t="shared" ref="L50:V50" si="29">L49</f>
        <v>0</v>
      </c>
      <c r="M50" s="34">
        <f t="shared" si="29"/>
        <v>1581.44</v>
      </c>
      <c r="N50" s="34">
        <f t="shared" si="29"/>
        <v>1581.44</v>
      </c>
      <c r="O50" s="34">
        <f t="shared" si="29"/>
        <v>0</v>
      </c>
      <c r="P50" s="34">
        <f>P49</f>
        <v>1150</v>
      </c>
      <c r="Q50" s="34">
        <f t="shared" si="29"/>
        <v>2731.44</v>
      </c>
      <c r="R50" s="264">
        <f>R49</f>
        <v>7268.5599999999995</v>
      </c>
      <c r="S50" s="34">
        <f t="shared" si="29"/>
        <v>285.52999999999997</v>
      </c>
      <c r="T50" s="34">
        <f t="shared" si="29"/>
        <v>2050</v>
      </c>
      <c r="U50" s="34">
        <f t="shared" si="29"/>
        <v>200</v>
      </c>
      <c r="V50" s="34">
        <f t="shared" si="29"/>
        <v>2535.5299999999997</v>
      </c>
    </row>
    <row r="51" spans="2:22" ht="12" customHeight="1" x14ac:dyDescent="0.3">
      <c r="B51" s="2"/>
      <c r="E51" s="15"/>
      <c r="F51" s="15"/>
      <c r="G51" s="15"/>
      <c r="H51" s="15"/>
      <c r="I51" s="15"/>
      <c r="J51" s="15"/>
      <c r="K51" s="16"/>
      <c r="L51" s="16"/>
      <c r="M51" s="16"/>
      <c r="N51" s="16"/>
      <c r="O51" s="16"/>
      <c r="P51" s="16"/>
      <c r="Q51" s="16"/>
      <c r="R51" s="267"/>
      <c r="S51" s="8"/>
      <c r="T51" s="8"/>
      <c r="U51" s="8"/>
      <c r="V51" s="8"/>
    </row>
    <row r="52" spans="2:22" ht="18.75" hidden="1" x14ac:dyDescent="0.3">
      <c r="R52" s="268"/>
    </row>
    <row r="53" spans="2:22" ht="18.75" x14ac:dyDescent="0.3">
      <c r="C53" s="53" t="s">
        <v>105</v>
      </c>
      <c r="E53" s="17">
        <f>E9+E20+E26+E40+E46+E50</f>
        <v>164304.95000000001</v>
      </c>
      <c r="F53" s="17"/>
      <c r="G53" s="17">
        <f>G9+G20+G26+G40+G46+G50</f>
        <v>16542</v>
      </c>
      <c r="H53" s="17"/>
      <c r="I53" s="17">
        <f t="shared" ref="I53:V53" si="30">I9+I20+I26+I40+I46+I50</f>
        <v>25.48</v>
      </c>
      <c r="J53" s="17">
        <f t="shared" si="30"/>
        <v>0</v>
      </c>
      <c r="K53" s="17">
        <f t="shared" si="30"/>
        <v>164279.47</v>
      </c>
      <c r="L53" s="17">
        <f t="shared" si="30"/>
        <v>274.08999999999997</v>
      </c>
      <c r="M53" s="17">
        <f t="shared" si="30"/>
        <v>20086.449999999997</v>
      </c>
      <c r="N53" s="17">
        <f t="shared" si="30"/>
        <v>19813.629999999997</v>
      </c>
      <c r="O53" s="17">
        <f t="shared" si="30"/>
        <v>0</v>
      </c>
      <c r="P53" s="17">
        <f t="shared" si="30"/>
        <v>17049.31925</v>
      </c>
      <c r="Q53" s="17">
        <f t="shared" si="30"/>
        <v>53404.949249999998</v>
      </c>
      <c r="R53" s="54">
        <f>R9+R20+R26+R40+R46+R50</f>
        <v>110874.52075</v>
      </c>
      <c r="S53" s="17">
        <f t="shared" si="30"/>
        <v>7277.0599999999995</v>
      </c>
      <c r="T53" s="17">
        <f t="shared" si="30"/>
        <v>30392.266250000001</v>
      </c>
      <c r="U53" s="17">
        <f t="shared" si="30"/>
        <v>2965.0990000000002</v>
      </c>
      <c r="V53" s="55">
        <f t="shared" si="30"/>
        <v>40634.42525</v>
      </c>
    </row>
    <row r="62" spans="2:22" ht="16.5" thickBot="1" x14ac:dyDescent="0.3">
      <c r="E62" s="375"/>
      <c r="F62" s="375"/>
      <c r="G62" s="275"/>
      <c r="H62" s="275"/>
      <c r="P62" s="376"/>
      <c r="Q62" s="376"/>
    </row>
    <row r="63" spans="2:22" ht="15" x14ac:dyDescent="0.25">
      <c r="E63" s="377" t="s">
        <v>177</v>
      </c>
      <c r="F63" s="377"/>
      <c r="G63" s="276"/>
      <c r="H63" s="276"/>
      <c r="P63" s="26"/>
      <c r="Q63" s="26"/>
      <c r="R63" s="378" t="s">
        <v>157</v>
      </c>
      <c r="S63" s="378"/>
      <c r="T63" s="275"/>
    </row>
    <row r="67" spans="3:3" x14ac:dyDescent="0.25">
      <c r="C67" t="s">
        <v>174</v>
      </c>
    </row>
  </sheetData>
  <mergeCells count="5">
    <mergeCell ref="B4:V4"/>
    <mergeCell ref="E62:F62"/>
    <mergeCell ref="P62:Q62"/>
    <mergeCell ref="E63:F63"/>
    <mergeCell ref="R63:S63"/>
  </mergeCells>
  <pageMargins left="0.51181102362204722" right="0.51181102362204722" top="0.15748031496062992" bottom="0.35433070866141736" header="0.31496062992125984" footer="0.31496062992125984"/>
  <pageSetup scale="38" fitToHeight="0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W67"/>
  <sheetViews>
    <sheetView topLeftCell="B35" zoomScale="85" zoomScaleNormal="85" workbookViewId="0">
      <selection activeCell="R19" sqref="R19"/>
    </sheetView>
  </sheetViews>
  <sheetFormatPr baseColWidth="10" defaultRowHeight="15.75" x14ac:dyDescent="0.25"/>
  <cols>
    <col min="1" max="1" width="0.7109375" customWidth="1"/>
    <col min="2" max="2" width="17.140625" customWidth="1"/>
    <col min="3" max="3" width="36.5703125" customWidth="1"/>
    <col min="4" max="4" width="28" customWidth="1"/>
    <col min="5" max="5" width="18.42578125" customWidth="1"/>
    <col min="6" max="6" width="12.7109375" customWidth="1"/>
    <col min="7" max="7" width="12.28515625" customWidth="1"/>
    <col min="8" max="8" width="14.140625" hidden="1" customWidth="1"/>
    <col min="9" max="9" width="13.85546875" customWidth="1"/>
    <col min="10" max="10" width="11.42578125" customWidth="1"/>
    <col min="11" max="11" width="15.85546875" customWidth="1"/>
    <col min="12" max="12" width="9.42578125" customWidth="1"/>
    <col min="13" max="14" width="14.42578125" customWidth="1"/>
    <col min="15" max="15" width="11.42578125" hidden="1" customWidth="1"/>
    <col min="16" max="16" width="12.85546875" customWidth="1"/>
    <col min="17" max="17" width="16.5703125" customWidth="1"/>
    <col min="18" max="18" width="18.28515625" style="133" customWidth="1"/>
    <col min="19" max="20" width="16.140625" customWidth="1"/>
    <col min="21" max="21" width="14.85546875" customWidth="1"/>
    <col min="22" max="22" width="17" customWidth="1"/>
  </cols>
  <sheetData>
    <row r="3" spans="2:23" x14ac:dyDescent="0.25"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29"/>
    </row>
    <row r="4" spans="2:23" ht="16.5" customHeight="1" x14ac:dyDescent="0.25">
      <c r="B4" s="380" t="s">
        <v>226</v>
      </c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</row>
    <row r="5" spans="2:23" s="56" customFormat="1" ht="56.25" x14ac:dyDescent="0.25">
      <c r="B5" s="120" t="s">
        <v>9</v>
      </c>
      <c r="C5" s="119" t="s">
        <v>10</v>
      </c>
      <c r="D5" s="103" t="s">
        <v>0</v>
      </c>
      <c r="E5" s="61" t="s">
        <v>11</v>
      </c>
      <c r="F5" s="100" t="s">
        <v>150</v>
      </c>
      <c r="G5" s="117" t="s">
        <v>180</v>
      </c>
      <c r="H5" s="118" t="s">
        <v>182</v>
      </c>
      <c r="I5" s="97" t="s">
        <v>169</v>
      </c>
      <c r="J5" s="103" t="s">
        <v>170</v>
      </c>
      <c r="K5" s="103" t="s">
        <v>12</v>
      </c>
      <c r="L5" s="99" t="s">
        <v>107</v>
      </c>
      <c r="M5" s="100" t="s">
        <v>143</v>
      </c>
      <c r="N5" s="100" t="s">
        <v>13</v>
      </c>
      <c r="O5" s="101" t="s">
        <v>171</v>
      </c>
      <c r="P5" s="116" t="s">
        <v>16</v>
      </c>
      <c r="Q5" s="115" t="s">
        <v>17</v>
      </c>
      <c r="R5" s="130" t="s">
        <v>72</v>
      </c>
      <c r="S5" s="99" t="s">
        <v>8</v>
      </c>
      <c r="T5" s="99" t="s">
        <v>218</v>
      </c>
      <c r="U5" s="123" t="s">
        <v>18</v>
      </c>
      <c r="V5" s="123" t="s">
        <v>73</v>
      </c>
      <c r="W5" s="102"/>
    </row>
    <row r="6" spans="2:23" x14ac:dyDescent="0.25">
      <c r="B6" s="107" t="s">
        <v>19</v>
      </c>
      <c r="C6" s="121" t="s">
        <v>20</v>
      </c>
      <c r="D6" s="121"/>
      <c r="E6" s="95"/>
      <c r="F6" s="15"/>
      <c r="G6" s="114"/>
      <c r="H6" s="15"/>
      <c r="I6" s="95"/>
      <c r="J6" s="95"/>
      <c r="K6" s="95"/>
      <c r="L6" s="15"/>
      <c r="M6" s="15"/>
      <c r="N6" s="15"/>
      <c r="O6" s="95"/>
      <c r="P6" s="15"/>
      <c r="Q6" s="95"/>
      <c r="R6" s="129"/>
    </row>
    <row r="7" spans="2:23" ht="18.75" x14ac:dyDescent="0.3">
      <c r="B7" t="s">
        <v>21</v>
      </c>
      <c r="C7" s="269" t="s">
        <v>22</v>
      </c>
      <c r="D7" t="s">
        <v>25</v>
      </c>
      <c r="E7" s="15">
        <v>16954.95</v>
      </c>
      <c r="F7" s="29">
        <v>15</v>
      </c>
      <c r="G7" s="18">
        <v>2700</v>
      </c>
      <c r="H7" s="15"/>
      <c r="I7" s="15"/>
      <c r="J7" s="15"/>
      <c r="K7" s="15">
        <f>E7-I7</f>
        <v>16954.95</v>
      </c>
      <c r="L7" s="15">
        <v>0</v>
      </c>
      <c r="M7" s="15">
        <v>3246.93</v>
      </c>
      <c r="N7" s="15">
        <f>M7-L7</f>
        <v>3246.93</v>
      </c>
      <c r="O7" s="15">
        <v>0</v>
      </c>
      <c r="P7" s="20">
        <f>E7*0.115</f>
        <v>1949.8192500000002</v>
      </c>
      <c r="Q7" s="15">
        <f>SUM(N7:P7)+G7</f>
        <v>7896.7492499999998</v>
      </c>
      <c r="R7" s="284">
        <f>K7-Q7</f>
        <v>9058.20075</v>
      </c>
      <c r="S7" s="11">
        <v>328.67</v>
      </c>
      <c r="T7" s="263">
        <f>+E7*17.5%+508.65</f>
        <v>3475.7662500000001</v>
      </c>
      <c r="U7" s="263">
        <f>+E7*2%</f>
        <v>339.09900000000005</v>
      </c>
      <c r="V7" s="35">
        <f>SUM(S7:U7)</f>
        <v>4143.5352499999999</v>
      </c>
    </row>
    <row r="8" spans="2:23" ht="18.75" x14ac:dyDescent="0.3">
      <c r="B8" t="s">
        <v>23</v>
      </c>
      <c r="C8" s="269" t="s">
        <v>24</v>
      </c>
      <c r="D8" t="s">
        <v>3</v>
      </c>
      <c r="E8" s="15">
        <v>4850</v>
      </c>
      <c r="F8" s="29">
        <v>15</v>
      </c>
      <c r="G8" s="18">
        <v>809</v>
      </c>
      <c r="H8" s="15"/>
      <c r="I8" s="15"/>
      <c r="J8" s="15"/>
      <c r="K8" s="15">
        <f>E8-I8</f>
        <v>4850</v>
      </c>
      <c r="L8" s="15">
        <v>0</v>
      </c>
      <c r="M8" s="15">
        <v>491.69</v>
      </c>
      <c r="N8" s="15">
        <f>M8-L8</f>
        <v>491.69</v>
      </c>
      <c r="O8" s="15">
        <v>0</v>
      </c>
      <c r="P8" s="20">
        <f>E8*0.115</f>
        <v>557.75</v>
      </c>
      <c r="Q8" s="15">
        <f>SUM(N8:P8)+G8</f>
        <v>1858.44</v>
      </c>
      <c r="R8" s="284">
        <f>K8-Q8</f>
        <v>2991.56</v>
      </c>
      <c r="S8" s="11">
        <v>253.58</v>
      </c>
      <c r="T8" s="263">
        <f>+E8*17.5%+145.5</f>
        <v>994.25</v>
      </c>
      <c r="U8" s="263">
        <f>+E8*2%</f>
        <v>97</v>
      </c>
      <c r="V8" s="35">
        <f>SUM(S8:U8)</f>
        <v>1344.83</v>
      </c>
    </row>
    <row r="9" spans="2:23" ht="18.75" x14ac:dyDescent="0.3">
      <c r="B9" s="7" t="s">
        <v>26</v>
      </c>
      <c r="C9" s="270"/>
      <c r="D9" s="30"/>
      <c r="E9" s="34">
        <f>SUM(E7:E8)</f>
        <v>21804.95</v>
      </c>
      <c r="F9" s="34"/>
      <c r="G9" s="34">
        <f>+G8+G7</f>
        <v>3509</v>
      </c>
      <c r="H9" s="34"/>
      <c r="I9" s="34">
        <f t="shared" ref="I9:V9" si="0">SUM(I7:I8)</f>
        <v>0</v>
      </c>
      <c r="J9" s="34">
        <f t="shared" si="0"/>
        <v>0</v>
      </c>
      <c r="K9" s="34">
        <f t="shared" si="0"/>
        <v>21804.95</v>
      </c>
      <c r="L9" s="34">
        <f t="shared" si="0"/>
        <v>0</v>
      </c>
      <c r="M9" s="34">
        <f t="shared" si="0"/>
        <v>3738.62</v>
      </c>
      <c r="N9" s="34">
        <f t="shared" si="0"/>
        <v>3738.62</v>
      </c>
      <c r="O9" s="34">
        <f t="shared" si="0"/>
        <v>0</v>
      </c>
      <c r="P9" s="34">
        <f>SUM(P7:P8)</f>
        <v>2507.5692500000005</v>
      </c>
      <c r="Q9" s="34">
        <f>SUM(Q7:Q8)</f>
        <v>9755.1892499999994</v>
      </c>
      <c r="R9" s="264">
        <f>SUM(R7:R8)</f>
        <v>12049.760749999999</v>
      </c>
      <c r="S9" s="34">
        <f t="shared" si="0"/>
        <v>582.25</v>
      </c>
      <c r="T9" s="34">
        <f t="shared" si="0"/>
        <v>4470.0162500000006</v>
      </c>
      <c r="U9" s="34">
        <f t="shared" si="0"/>
        <v>436.09900000000005</v>
      </c>
      <c r="V9" s="34">
        <f t="shared" si="0"/>
        <v>5488.3652499999998</v>
      </c>
    </row>
    <row r="10" spans="2:23" ht="10.5" hidden="1" customHeight="1" x14ac:dyDescent="0.3">
      <c r="C10" s="133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265"/>
    </row>
    <row r="11" spans="2:23" ht="18.75" x14ac:dyDescent="0.3">
      <c r="B11" s="2" t="s">
        <v>27</v>
      </c>
      <c r="C11" s="270" t="s">
        <v>28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265"/>
    </row>
    <row r="12" spans="2:23" ht="18.75" x14ac:dyDescent="0.3">
      <c r="B12" t="s">
        <v>32</v>
      </c>
      <c r="C12" s="269" t="s">
        <v>37</v>
      </c>
      <c r="D12" t="s">
        <v>1</v>
      </c>
      <c r="E12" s="15">
        <v>10000</v>
      </c>
      <c r="F12" s="29">
        <v>15</v>
      </c>
      <c r="G12" s="18">
        <v>3334</v>
      </c>
      <c r="H12" s="15"/>
      <c r="I12" s="15"/>
      <c r="J12" s="15"/>
      <c r="K12" s="15">
        <f t="shared" ref="K12:K18" si="1">E12-I12</f>
        <v>10000</v>
      </c>
      <c r="L12" s="15">
        <v>0</v>
      </c>
      <c r="M12" s="15">
        <v>1581.44</v>
      </c>
      <c r="N12" s="15">
        <f>M12-L12</f>
        <v>1581.44</v>
      </c>
      <c r="O12" s="15">
        <v>0</v>
      </c>
      <c r="P12" s="15">
        <f>E12*0.115</f>
        <v>1150</v>
      </c>
      <c r="Q12" s="15">
        <f>SUM(N12:P12)+G12</f>
        <v>6065.4400000000005</v>
      </c>
      <c r="R12" s="284">
        <f t="shared" ref="R12:R19" si="2">K12-Q12</f>
        <v>3934.5599999999995</v>
      </c>
      <c r="S12" s="11">
        <v>285.52999999999997</v>
      </c>
      <c r="T12" s="263">
        <f>+E12*17.5%+300</f>
        <v>2050</v>
      </c>
      <c r="U12" s="263">
        <f>+E12*2%</f>
        <v>200</v>
      </c>
      <c r="V12" s="35">
        <f t="shared" ref="V12:V19" si="3">SUM(S12:U12)</f>
        <v>2535.5299999999997</v>
      </c>
    </row>
    <row r="13" spans="2:23" ht="18.75" x14ac:dyDescent="0.3">
      <c r="B13" t="s">
        <v>33</v>
      </c>
      <c r="C13" s="269" t="s">
        <v>38</v>
      </c>
      <c r="D13" t="s">
        <v>74</v>
      </c>
      <c r="E13" s="15">
        <v>5350</v>
      </c>
      <c r="F13" s="29">
        <v>15</v>
      </c>
      <c r="G13" s="15"/>
      <c r="H13" s="15"/>
      <c r="I13" s="77">
        <v>1.7</v>
      </c>
      <c r="J13" s="19"/>
      <c r="K13" s="15">
        <f>E13-I13</f>
        <v>5348.3</v>
      </c>
      <c r="L13" s="15">
        <v>0</v>
      </c>
      <c r="M13" s="15">
        <v>586.75</v>
      </c>
      <c r="N13" s="15">
        <v>588.20000000000005</v>
      </c>
      <c r="O13" s="15">
        <v>0</v>
      </c>
      <c r="P13" s="15">
        <f t="shared" ref="P13:P19" si="4">E13*0.115</f>
        <v>615.25</v>
      </c>
      <c r="Q13" s="15">
        <f t="shared" ref="Q13:Q19" si="5">SUM(N13:P13)+G13</f>
        <v>1203.45</v>
      </c>
      <c r="R13" s="284">
        <f>K13-Q13</f>
        <v>4144.8500000000004</v>
      </c>
      <c r="S13" s="11">
        <v>256.68</v>
      </c>
      <c r="T13" s="263">
        <f>+E13*17.5%+160.5</f>
        <v>1096.75</v>
      </c>
      <c r="U13" s="263">
        <f>+E13*2%</f>
        <v>107</v>
      </c>
      <c r="V13" s="35">
        <f t="shared" si="3"/>
        <v>1460.43</v>
      </c>
    </row>
    <row r="14" spans="2:23" ht="18.75" x14ac:dyDescent="0.3">
      <c r="B14" t="s">
        <v>34</v>
      </c>
      <c r="C14" s="269" t="s">
        <v>178</v>
      </c>
      <c r="D14" t="s">
        <v>179</v>
      </c>
      <c r="E14" s="15">
        <v>5350</v>
      </c>
      <c r="F14" s="29">
        <v>15</v>
      </c>
      <c r="G14" s="15"/>
      <c r="H14" s="20"/>
      <c r="I14" s="77">
        <v>1.7</v>
      </c>
      <c r="J14" s="19"/>
      <c r="K14" s="15">
        <f>+E14+H14-I14</f>
        <v>5348.3</v>
      </c>
      <c r="L14" s="15">
        <v>0</v>
      </c>
      <c r="M14" s="15">
        <v>588.20000000000005</v>
      </c>
      <c r="N14" s="15">
        <v>588.20000000000005</v>
      </c>
      <c r="O14" s="15">
        <v>0</v>
      </c>
      <c r="P14" s="113">
        <v>615.25</v>
      </c>
      <c r="Q14" s="15">
        <f>SUM(N14:P14)+G14</f>
        <v>1203.45</v>
      </c>
      <c r="R14" s="284">
        <f>K14-Q14</f>
        <v>4144.8500000000004</v>
      </c>
      <c r="S14" s="11">
        <v>256.68</v>
      </c>
      <c r="T14" s="263">
        <f>+E14*17.5%+160.5</f>
        <v>1096.75</v>
      </c>
      <c r="U14" s="263">
        <f t="shared" ref="U14:U19" si="6">+E14*2%</f>
        <v>107</v>
      </c>
      <c r="V14" s="35">
        <f t="shared" si="3"/>
        <v>1460.43</v>
      </c>
    </row>
    <row r="15" spans="2:23" ht="18.75" x14ac:dyDescent="0.3">
      <c r="B15" t="s">
        <v>35</v>
      </c>
      <c r="C15" s="133" t="s">
        <v>111</v>
      </c>
      <c r="D15" t="s">
        <v>77</v>
      </c>
      <c r="E15" s="15">
        <v>6000</v>
      </c>
      <c r="F15" s="29">
        <v>15</v>
      </c>
      <c r="G15" s="15"/>
      <c r="H15" s="15"/>
      <c r="I15" s="15"/>
      <c r="J15" s="15"/>
      <c r="K15" s="15">
        <f t="shared" si="1"/>
        <v>6000</v>
      </c>
      <c r="L15" s="15">
        <v>0</v>
      </c>
      <c r="M15" s="15">
        <v>727.04</v>
      </c>
      <c r="N15" s="15">
        <f t="shared" ref="N15:N19" si="7">M15-L15</f>
        <v>727.04</v>
      </c>
      <c r="O15" s="15">
        <v>0</v>
      </c>
      <c r="P15" s="15">
        <f>E15*0.115</f>
        <v>690</v>
      </c>
      <c r="Q15" s="15">
        <f t="shared" si="5"/>
        <v>1417.04</v>
      </c>
      <c r="R15" s="284">
        <f t="shared" si="2"/>
        <v>4582.96</v>
      </c>
      <c r="S15" s="11">
        <v>260.72000000000003</v>
      </c>
      <c r="T15" s="263">
        <f>+E15*17.5%+180</f>
        <v>1230</v>
      </c>
      <c r="U15" s="263">
        <f t="shared" si="6"/>
        <v>120</v>
      </c>
      <c r="V15" s="35">
        <f t="shared" si="3"/>
        <v>1610.72</v>
      </c>
    </row>
    <row r="16" spans="2:23" ht="18.75" x14ac:dyDescent="0.3">
      <c r="B16" t="s">
        <v>36</v>
      </c>
      <c r="C16" s="133" t="s">
        <v>86</v>
      </c>
      <c r="D16" t="s">
        <v>39</v>
      </c>
      <c r="E16" s="15">
        <v>4500</v>
      </c>
      <c r="F16" s="29">
        <v>15</v>
      </c>
      <c r="G16" s="18">
        <v>1000</v>
      </c>
      <c r="H16" s="15"/>
      <c r="I16" s="15"/>
      <c r="J16" s="15"/>
      <c r="K16" s="15">
        <f t="shared" si="1"/>
        <v>4500</v>
      </c>
      <c r="L16" s="15">
        <v>0</v>
      </c>
      <c r="M16" s="15">
        <v>428.97</v>
      </c>
      <c r="N16" s="15">
        <f t="shared" si="7"/>
        <v>428.97</v>
      </c>
      <c r="O16" s="15">
        <v>0</v>
      </c>
      <c r="P16" s="15">
        <f t="shared" si="4"/>
        <v>517.5</v>
      </c>
      <c r="Q16" s="15">
        <f t="shared" si="5"/>
        <v>1946.47</v>
      </c>
      <c r="R16" s="284">
        <f t="shared" si="2"/>
        <v>2553.5299999999997</v>
      </c>
      <c r="S16" s="11">
        <v>251.41</v>
      </c>
      <c r="T16" s="263">
        <f>+E16*17.5%+135</f>
        <v>922.5</v>
      </c>
      <c r="U16" s="263">
        <f t="shared" si="6"/>
        <v>90</v>
      </c>
      <c r="V16" s="35">
        <f t="shared" si="3"/>
        <v>1263.9100000000001</v>
      </c>
    </row>
    <row r="17" spans="2:22" ht="18.75" x14ac:dyDescent="0.3">
      <c r="B17" t="s">
        <v>115</v>
      </c>
      <c r="C17" s="133" t="s">
        <v>87</v>
      </c>
      <c r="D17" t="s">
        <v>39</v>
      </c>
      <c r="E17" s="15">
        <v>4500</v>
      </c>
      <c r="F17" s="29">
        <v>15</v>
      </c>
      <c r="G17" s="18">
        <v>797</v>
      </c>
      <c r="H17" s="15"/>
      <c r="I17" s="15"/>
      <c r="J17" s="15"/>
      <c r="K17" s="15">
        <f t="shared" si="1"/>
        <v>4500</v>
      </c>
      <c r="L17" s="15">
        <v>0</v>
      </c>
      <c r="M17" s="15">
        <v>428.97</v>
      </c>
      <c r="N17" s="15">
        <v>428.97</v>
      </c>
      <c r="O17" s="15">
        <v>0</v>
      </c>
      <c r="P17" s="15">
        <f t="shared" si="4"/>
        <v>517.5</v>
      </c>
      <c r="Q17" s="15">
        <f t="shared" si="5"/>
        <v>1743.47</v>
      </c>
      <c r="R17" s="284">
        <f t="shared" si="2"/>
        <v>2756.5299999999997</v>
      </c>
      <c r="S17" s="11">
        <v>251.41</v>
      </c>
      <c r="T17" s="263">
        <f>+E17*17.5%+135</f>
        <v>922.5</v>
      </c>
      <c r="U17" s="263">
        <f t="shared" si="6"/>
        <v>90</v>
      </c>
      <c r="V17" s="35">
        <f t="shared" si="3"/>
        <v>1263.9100000000001</v>
      </c>
    </row>
    <row r="18" spans="2:22" ht="18.75" x14ac:dyDescent="0.3">
      <c r="B18" t="s">
        <v>116</v>
      </c>
      <c r="C18" s="133" t="s">
        <v>89</v>
      </c>
      <c r="D18" t="s">
        <v>4</v>
      </c>
      <c r="E18" s="15">
        <v>2700</v>
      </c>
      <c r="F18" s="29">
        <v>15</v>
      </c>
      <c r="G18" s="18">
        <v>600</v>
      </c>
      <c r="H18" s="15"/>
      <c r="I18" s="15"/>
      <c r="J18" s="15"/>
      <c r="K18" s="15">
        <f t="shared" si="1"/>
        <v>2700</v>
      </c>
      <c r="L18" s="15">
        <v>147.32</v>
      </c>
      <c r="M18" s="15">
        <v>188.33</v>
      </c>
      <c r="N18" s="15">
        <f>M18-L18</f>
        <v>41.010000000000019</v>
      </c>
      <c r="O18" s="15">
        <v>0</v>
      </c>
      <c r="P18" s="20">
        <f>E18*0.115</f>
        <v>310.5</v>
      </c>
      <c r="Q18" s="15">
        <f t="shared" si="5"/>
        <v>951.51</v>
      </c>
      <c r="R18" s="284">
        <f t="shared" si="2"/>
        <v>1748.49</v>
      </c>
      <c r="S18" s="11">
        <v>240.25</v>
      </c>
      <c r="T18" s="263">
        <f>+E18*17.5%+81</f>
        <v>553.5</v>
      </c>
      <c r="U18" s="263">
        <f t="shared" si="6"/>
        <v>54</v>
      </c>
      <c r="V18" s="35">
        <f t="shared" si="3"/>
        <v>847.75</v>
      </c>
    </row>
    <row r="19" spans="2:22" ht="18.75" x14ac:dyDescent="0.3">
      <c r="B19" t="s">
        <v>117</v>
      </c>
      <c r="C19" s="133" t="s">
        <v>88</v>
      </c>
      <c r="D19" t="s">
        <v>40</v>
      </c>
      <c r="E19" s="15">
        <v>3150</v>
      </c>
      <c r="F19" s="29">
        <v>15</v>
      </c>
      <c r="G19" s="18">
        <v>525</v>
      </c>
      <c r="H19" s="15"/>
      <c r="I19" s="15"/>
      <c r="J19" s="15"/>
      <c r="K19" s="15">
        <f>E19-I19</f>
        <v>3150</v>
      </c>
      <c r="L19" s="15">
        <v>126.77</v>
      </c>
      <c r="M19" s="15">
        <v>237.29</v>
      </c>
      <c r="N19" s="15">
        <f t="shared" si="7"/>
        <v>110.52</v>
      </c>
      <c r="O19" s="15">
        <v>0</v>
      </c>
      <c r="P19" s="20">
        <f t="shared" si="4"/>
        <v>362.25</v>
      </c>
      <c r="Q19" s="15">
        <f t="shared" si="5"/>
        <v>997.77</v>
      </c>
      <c r="R19" s="284">
        <f t="shared" si="2"/>
        <v>2152.23</v>
      </c>
      <c r="S19" s="11">
        <v>243.04</v>
      </c>
      <c r="T19" s="263">
        <f>+E19*17.5%+94.5</f>
        <v>645.75</v>
      </c>
      <c r="U19" s="263">
        <f t="shared" si="6"/>
        <v>63</v>
      </c>
      <c r="V19" s="35">
        <f t="shared" si="3"/>
        <v>951.79</v>
      </c>
    </row>
    <row r="20" spans="2:22" ht="18.75" x14ac:dyDescent="0.3">
      <c r="B20" s="2" t="s">
        <v>26</v>
      </c>
      <c r="C20" s="270"/>
      <c r="D20" s="30"/>
      <c r="E20" s="34">
        <f>SUM(E12:E19)</f>
        <v>41550</v>
      </c>
      <c r="F20" s="34"/>
      <c r="G20" s="34">
        <f>+G19+G18+G17+G16+G12</f>
        <v>6256</v>
      </c>
      <c r="H20" s="34"/>
      <c r="I20" s="34">
        <f t="shared" ref="I20:V20" si="8">SUM(I12:I19)</f>
        <v>3.4</v>
      </c>
      <c r="J20" s="34">
        <f t="shared" si="8"/>
        <v>0</v>
      </c>
      <c r="K20" s="34">
        <f t="shared" si="8"/>
        <v>41546.6</v>
      </c>
      <c r="L20" s="34">
        <f t="shared" si="8"/>
        <v>274.08999999999997</v>
      </c>
      <c r="M20" s="34">
        <f t="shared" si="8"/>
        <v>4766.9900000000007</v>
      </c>
      <c r="N20" s="34">
        <f t="shared" si="8"/>
        <v>4494.3500000000013</v>
      </c>
      <c r="O20" s="34">
        <f t="shared" si="8"/>
        <v>0</v>
      </c>
      <c r="P20" s="34">
        <f>SUM(P12:P19)</f>
        <v>4778.25</v>
      </c>
      <c r="Q20" s="34">
        <f>SUM(Q12:Q19)</f>
        <v>15528.6</v>
      </c>
      <c r="R20" s="264">
        <f>SUM(R12:R19)</f>
        <v>26018</v>
      </c>
      <c r="S20" s="34">
        <f t="shared" si="8"/>
        <v>2045.7200000000003</v>
      </c>
      <c r="T20" s="34">
        <f t="shared" si="8"/>
        <v>8517.75</v>
      </c>
      <c r="U20" s="34">
        <f t="shared" si="8"/>
        <v>831</v>
      </c>
      <c r="V20" s="34">
        <f t="shared" si="8"/>
        <v>11394.470000000001</v>
      </c>
    </row>
    <row r="21" spans="2:22" ht="18.75" hidden="1" x14ac:dyDescent="0.3">
      <c r="B21" s="2"/>
      <c r="C21" s="133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265"/>
    </row>
    <row r="22" spans="2:22" ht="18.75" x14ac:dyDescent="0.3">
      <c r="B22" s="2" t="s">
        <v>50</v>
      </c>
      <c r="C22" s="270" t="s">
        <v>160</v>
      </c>
      <c r="E22" s="15"/>
      <c r="F22" s="15"/>
      <c r="G22" s="15"/>
      <c r="H22" s="15"/>
      <c r="I22" s="15"/>
      <c r="J22" s="15"/>
      <c r="K22" s="113"/>
      <c r="L22" s="113"/>
      <c r="M22" s="15"/>
      <c r="N22" s="15"/>
      <c r="O22" s="15"/>
      <c r="P22" s="15"/>
      <c r="Q22" s="15"/>
      <c r="R22" s="265"/>
    </row>
    <row r="23" spans="2:22" ht="18.75" x14ac:dyDescent="0.3">
      <c r="B23" t="s">
        <v>119</v>
      </c>
      <c r="C23" s="133" t="s">
        <v>224</v>
      </c>
      <c r="D23" t="s">
        <v>76</v>
      </c>
      <c r="E23" s="15">
        <v>5350</v>
      </c>
      <c r="F23" s="29">
        <v>15</v>
      </c>
      <c r="G23" s="20"/>
      <c r="H23" s="15"/>
      <c r="I23" s="15"/>
      <c r="J23" s="15"/>
      <c r="K23" s="15">
        <f>E23-I23</f>
        <v>5350</v>
      </c>
      <c r="L23" s="15">
        <v>0</v>
      </c>
      <c r="M23" s="15">
        <v>588.20000000000005</v>
      </c>
      <c r="N23" s="15">
        <f>M23-L23</f>
        <v>588.20000000000005</v>
      </c>
      <c r="O23" s="15">
        <v>0</v>
      </c>
      <c r="P23" s="20"/>
      <c r="Q23" s="15">
        <f>SUM(N23:P23)+G23</f>
        <v>588.20000000000005</v>
      </c>
      <c r="R23" s="284">
        <f>K23-Q23</f>
        <v>4761.8</v>
      </c>
      <c r="S23" s="11">
        <v>256.68</v>
      </c>
      <c r="T23" s="263"/>
      <c r="U23" s="263"/>
      <c r="V23" s="35">
        <f t="shared" ref="V23" si="9">SUM(S23:U23)</f>
        <v>256.68</v>
      </c>
    </row>
    <row r="24" spans="2:22" ht="18.75" x14ac:dyDescent="0.3">
      <c r="B24" t="s">
        <v>120</v>
      </c>
      <c r="C24" s="133" t="s">
        <v>93</v>
      </c>
      <c r="D24" t="s">
        <v>78</v>
      </c>
      <c r="E24" s="15">
        <v>5350</v>
      </c>
      <c r="F24" s="29">
        <v>15</v>
      </c>
      <c r="G24" s="18">
        <v>1115</v>
      </c>
      <c r="H24" s="15"/>
      <c r="I24" s="71"/>
      <c r="J24" s="15"/>
      <c r="K24" s="15">
        <f>E24-I24</f>
        <v>5350</v>
      </c>
      <c r="L24" s="15">
        <v>0</v>
      </c>
      <c r="M24" s="15">
        <v>588.20000000000005</v>
      </c>
      <c r="N24" s="15">
        <f>M24-L24</f>
        <v>588.20000000000005</v>
      </c>
      <c r="O24" s="15">
        <v>0</v>
      </c>
      <c r="P24" s="20">
        <f>E24*0.115</f>
        <v>615.25</v>
      </c>
      <c r="Q24" s="15">
        <f>SUM(N24:P24)+G24</f>
        <v>2318.4499999999998</v>
      </c>
      <c r="R24" s="284">
        <f>K24-Q24</f>
        <v>3031.55</v>
      </c>
      <c r="S24" s="11">
        <v>256.68</v>
      </c>
      <c r="T24" s="263">
        <f>+E24*17.5%+160.5</f>
        <v>1096.75</v>
      </c>
      <c r="U24" s="263">
        <f t="shared" ref="U24:U25" si="10">+E24*2%</f>
        <v>107</v>
      </c>
      <c r="V24" s="35">
        <f>SUM(S24:U24)</f>
        <v>1460.43</v>
      </c>
    </row>
    <row r="25" spans="2:22" ht="18.75" x14ac:dyDescent="0.3">
      <c r="B25" t="s">
        <v>121</v>
      </c>
      <c r="C25" s="133" t="s">
        <v>114</v>
      </c>
      <c r="D25" t="s">
        <v>186</v>
      </c>
      <c r="E25" s="15">
        <v>5350</v>
      </c>
      <c r="F25" s="29">
        <v>15</v>
      </c>
      <c r="G25" s="18">
        <v>1189</v>
      </c>
      <c r="H25" s="15"/>
      <c r="I25" s="77">
        <v>1.7</v>
      </c>
      <c r="J25" s="15"/>
      <c r="K25" s="15">
        <f>E25-I25</f>
        <v>5348.3</v>
      </c>
      <c r="L25" s="15">
        <v>0</v>
      </c>
      <c r="M25" s="15">
        <v>588.20000000000005</v>
      </c>
      <c r="N25" s="15">
        <f>M25-L25</f>
        <v>588.20000000000005</v>
      </c>
      <c r="O25" s="15">
        <v>0</v>
      </c>
      <c r="P25" s="20">
        <f>E25*0.115</f>
        <v>615.25</v>
      </c>
      <c r="Q25" s="15">
        <f>SUM(N25:P25)+G25</f>
        <v>2392.4499999999998</v>
      </c>
      <c r="R25" s="284">
        <f>K25-Q25</f>
        <v>2955.8500000000004</v>
      </c>
      <c r="S25" s="11">
        <v>256.68</v>
      </c>
      <c r="T25" s="263">
        <f>+E25*17.5%+160.5</f>
        <v>1096.75</v>
      </c>
      <c r="U25" s="263">
        <f t="shared" si="10"/>
        <v>107</v>
      </c>
      <c r="V25" s="35">
        <f>SUM(S25:U25)</f>
        <v>1460.43</v>
      </c>
    </row>
    <row r="26" spans="2:22" ht="18.75" x14ac:dyDescent="0.3">
      <c r="B26" s="2" t="s">
        <v>26</v>
      </c>
      <c r="C26" s="270"/>
      <c r="D26" s="30"/>
      <c r="E26" s="34">
        <f>SUM(E23:E25)</f>
        <v>16050</v>
      </c>
      <c r="F26" s="34"/>
      <c r="G26" s="34">
        <f>+G25+G24+G23</f>
        <v>2304</v>
      </c>
      <c r="H26" s="34"/>
      <c r="I26" s="34">
        <f>SUM(I23:I25)</f>
        <v>1.7</v>
      </c>
      <c r="J26" s="34">
        <f>SUM(J23:J25)</f>
        <v>0</v>
      </c>
      <c r="K26" s="34">
        <f t="shared" ref="K26:V26" si="11">SUM(K23:K25)</f>
        <v>16048.3</v>
      </c>
      <c r="L26" s="34">
        <f t="shared" si="11"/>
        <v>0</v>
      </c>
      <c r="M26" s="34">
        <f t="shared" si="11"/>
        <v>1764.6000000000001</v>
      </c>
      <c r="N26" s="34">
        <f t="shared" si="11"/>
        <v>1764.6000000000001</v>
      </c>
      <c r="O26" s="34">
        <f t="shared" si="11"/>
        <v>0</v>
      </c>
      <c r="P26" s="34">
        <f>SUM(P23:P25)</f>
        <v>1230.5</v>
      </c>
      <c r="Q26" s="34">
        <f>SUM(Q23:Q25)</f>
        <v>5299.0999999999995</v>
      </c>
      <c r="R26" s="264">
        <f>SUM(R23:R25)</f>
        <v>10749.2</v>
      </c>
      <c r="S26" s="34">
        <f t="shared" si="11"/>
        <v>770.04</v>
      </c>
      <c r="T26" s="34">
        <f t="shared" si="11"/>
        <v>2193.5</v>
      </c>
      <c r="U26" s="34">
        <f t="shared" si="11"/>
        <v>214</v>
      </c>
      <c r="V26" s="34">
        <f t="shared" si="11"/>
        <v>3177.54</v>
      </c>
    </row>
    <row r="27" spans="2:22" ht="18.75" hidden="1" x14ac:dyDescent="0.3">
      <c r="C27" s="133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265"/>
    </row>
    <row r="28" spans="2:22" ht="18.75" x14ac:dyDescent="0.3">
      <c r="B28" s="2" t="s">
        <v>63</v>
      </c>
      <c r="C28" s="270" t="s">
        <v>51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265"/>
    </row>
    <row r="29" spans="2:22" ht="18.75" x14ac:dyDescent="0.3">
      <c r="B29" t="s">
        <v>122</v>
      </c>
      <c r="C29" s="133" t="s">
        <v>97</v>
      </c>
      <c r="D29" t="s">
        <v>80</v>
      </c>
      <c r="E29" s="15">
        <v>5350</v>
      </c>
      <c r="F29" s="29">
        <v>15</v>
      </c>
      <c r="G29" s="15"/>
      <c r="H29" s="15"/>
      <c r="I29" s="71"/>
      <c r="J29" s="15"/>
      <c r="K29" s="15">
        <f t="shared" ref="K29:K38" si="12">E29-I29</f>
        <v>5350</v>
      </c>
      <c r="L29" s="15">
        <v>0</v>
      </c>
      <c r="M29" s="15">
        <v>588.20000000000005</v>
      </c>
      <c r="N29" s="15">
        <f>M29-L29</f>
        <v>588.20000000000005</v>
      </c>
      <c r="O29" s="15">
        <v>0</v>
      </c>
      <c r="P29" s="20">
        <f>E29*0.115</f>
        <v>615.25</v>
      </c>
      <c r="Q29" s="15">
        <f>SUM(N29:P29)+G29</f>
        <v>1203.45</v>
      </c>
      <c r="R29" s="284">
        <f>K29-Q29</f>
        <v>4146.55</v>
      </c>
      <c r="S29" s="11">
        <v>256.68</v>
      </c>
      <c r="T29" s="263">
        <f t="shared" ref="T29:T39" si="13">+E29*17.5%+160.5</f>
        <v>1096.75</v>
      </c>
      <c r="U29" s="263">
        <f t="shared" ref="U29:U39" si="14">+E29*2%</f>
        <v>107</v>
      </c>
      <c r="V29" s="35">
        <f>SUM(S29:U29)</f>
        <v>1460.43</v>
      </c>
    </row>
    <row r="30" spans="2:22" ht="18.75" x14ac:dyDescent="0.3">
      <c r="B30" t="s">
        <v>123</v>
      </c>
      <c r="C30" s="133" t="s">
        <v>100</v>
      </c>
      <c r="D30" t="s">
        <v>80</v>
      </c>
      <c r="E30" s="15">
        <v>5350</v>
      </c>
      <c r="F30" s="29">
        <v>15</v>
      </c>
      <c r="G30" s="18">
        <v>904</v>
      </c>
      <c r="H30" s="15"/>
      <c r="I30" s="77"/>
      <c r="J30" s="20"/>
      <c r="K30" s="20">
        <f t="shared" si="12"/>
        <v>5350</v>
      </c>
      <c r="L30" s="20">
        <v>0</v>
      </c>
      <c r="M30" s="20">
        <v>588.20000000000005</v>
      </c>
      <c r="N30" s="20">
        <v>588.20000000000005</v>
      </c>
      <c r="O30" s="15">
        <v>0</v>
      </c>
      <c r="P30" s="20">
        <f t="shared" ref="P30:P39" si="15">E30*0.115</f>
        <v>615.25</v>
      </c>
      <c r="Q30" s="15">
        <f t="shared" ref="Q30:Q39" si="16">SUM(N30:P30)+G30</f>
        <v>2107.4499999999998</v>
      </c>
      <c r="R30" s="284">
        <f t="shared" ref="R30:R39" si="17">K30-Q30</f>
        <v>3242.55</v>
      </c>
      <c r="S30" s="11">
        <v>256.68</v>
      </c>
      <c r="T30" s="263">
        <f t="shared" si="13"/>
        <v>1096.75</v>
      </c>
      <c r="U30" s="263">
        <f t="shared" si="14"/>
        <v>107</v>
      </c>
      <c r="V30" s="35">
        <f>SUM(S30:U30)</f>
        <v>1460.43</v>
      </c>
    </row>
    <row r="31" spans="2:22" ht="18.75" x14ac:dyDescent="0.3">
      <c r="B31" t="s">
        <v>124</v>
      </c>
      <c r="C31" s="133" t="s">
        <v>96</v>
      </c>
      <c r="D31" t="s">
        <v>78</v>
      </c>
      <c r="E31" s="15">
        <v>5350</v>
      </c>
      <c r="F31" s="29">
        <v>15</v>
      </c>
      <c r="G31" s="15"/>
      <c r="H31" s="15"/>
      <c r="I31" s="20"/>
      <c r="J31" s="20"/>
      <c r="K31" s="20">
        <f t="shared" si="12"/>
        <v>5350</v>
      </c>
      <c r="L31" s="20">
        <v>0</v>
      </c>
      <c r="M31" s="20">
        <v>588.20000000000005</v>
      </c>
      <c r="N31" s="20">
        <f t="shared" ref="N31:N39" si="18">M31-L31</f>
        <v>588.20000000000005</v>
      </c>
      <c r="O31" s="15">
        <v>0</v>
      </c>
      <c r="P31" s="20">
        <f t="shared" si="15"/>
        <v>615.25</v>
      </c>
      <c r="Q31" s="15">
        <f t="shared" si="16"/>
        <v>1203.45</v>
      </c>
      <c r="R31" s="284">
        <f t="shared" si="17"/>
        <v>4146.55</v>
      </c>
      <c r="S31" s="11">
        <v>256.68</v>
      </c>
      <c r="T31" s="263">
        <f t="shared" si="13"/>
        <v>1096.75</v>
      </c>
      <c r="U31" s="263">
        <f t="shared" si="14"/>
        <v>107</v>
      </c>
      <c r="V31" s="35">
        <f>SUM(S31:U31)</f>
        <v>1460.43</v>
      </c>
    </row>
    <row r="32" spans="2:22" ht="18.75" x14ac:dyDescent="0.3">
      <c r="B32" t="s">
        <v>125</v>
      </c>
      <c r="C32" s="133" t="s">
        <v>104</v>
      </c>
      <c r="D32" t="s">
        <v>78</v>
      </c>
      <c r="E32" s="15">
        <v>5350</v>
      </c>
      <c r="F32" s="29">
        <v>15</v>
      </c>
      <c r="G32" s="265"/>
      <c r="H32" s="15"/>
      <c r="I32" s="20"/>
      <c r="J32" s="20"/>
      <c r="K32" s="20">
        <f t="shared" si="12"/>
        <v>5350</v>
      </c>
      <c r="L32" s="20">
        <v>0</v>
      </c>
      <c r="M32" s="20">
        <v>588.20000000000005</v>
      </c>
      <c r="N32" s="20">
        <f t="shared" si="18"/>
        <v>588.20000000000005</v>
      </c>
      <c r="O32" s="15">
        <v>0</v>
      </c>
      <c r="P32" s="20">
        <f t="shared" si="15"/>
        <v>615.25</v>
      </c>
      <c r="Q32" s="15">
        <f t="shared" ref="Q32" si="19">SUM(N32:P32)+G32</f>
        <v>1203.45</v>
      </c>
      <c r="R32" s="284">
        <f t="shared" si="17"/>
        <v>4146.55</v>
      </c>
      <c r="S32" s="11">
        <v>256.68</v>
      </c>
      <c r="T32" s="263">
        <f t="shared" si="13"/>
        <v>1096.75</v>
      </c>
      <c r="U32" s="263">
        <f t="shared" si="14"/>
        <v>107</v>
      </c>
      <c r="V32" s="35">
        <f t="shared" ref="V32" si="20">SUM(S32:U32)</f>
        <v>1460.43</v>
      </c>
    </row>
    <row r="33" spans="2:22" ht="18.75" x14ac:dyDescent="0.3">
      <c r="B33" t="s">
        <v>126</v>
      </c>
      <c r="C33" s="133" t="s">
        <v>94</v>
      </c>
      <c r="D33" t="s">
        <v>81</v>
      </c>
      <c r="E33" s="15">
        <v>5350</v>
      </c>
      <c r="F33" s="29">
        <v>15</v>
      </c>
      <c r="G33" s="18">
        <v>595</v>
      </c>
      <c r="H33" s="15"/>
      <c r="I33" s="77">
        <v>1.7</v>
      </c>
      <c r="J33" s="20"/>
      <c r="K33" s="20">
        <f>E33-I33</f>
        <v>5348.3</v>
      </c>
      <c r="L33" s="20">
        <v>0</v>
      </c>
      <c r="M33" s="20">
        <v>588.20000000000005</v>
      </c>
      <c r="N33" s="20">
        <v>588.02</v>
      </c>
      <c r="O33" s="15">
        <v>0</v>
      </c>
      <c r="P33" s="20">
        <f t="shared" si="15"/>
        <v>615.25</v>
      </c>
      <c r="Q33" s="15">
        <f t="shared" si="16"/>
        <v>1798.27</v>
      </c>
      <c r="R33" s="284">
        <f>K33-Q33</f>
        <v>3550.03</v>
      </c>
      <c r="S33" s="11">
        <v>256.68</v>
      </c>
      <c r="T33" s="263">
        <f t="shared" si="13"/>
        <v>1096.75</v>
      </c>
      <c r="U33" s="263">
        <f t="shared" si="14"/>
        <v>107</v>
      </c>
      <c r="V33" s="35">
        <f t="shared" ref="V33:V39" si="21">SUM(S33:U33)</f>
        <v>1460.43</v>
      </c>
    </row>
    <row r="34" spans="2:22" ht="18.75" x14ac:dyDescent="0.3">
      <c r="B34" t="s">
        <v>127</v>
      </c>
      <c r="C34" s="133" t="s">
        <v>98</v>
      </c>
      <c r="D34" t="s">
        <v>81</v>
      </c>
      <c r="E34" s="15">
        <v>5350</v>
      </c>
      <c r="F34" s="29">
        <v>15</v>
      </c>
      <c r="G34" s="15"/>
      <c r="H34" s="20"/>
      <c r="I34" s="15"/>
      <c r="J34" s="20"/>
      <c r="K34" s="20">
        <f>E34-I34</f>
        <v>5350</v>
      </c>
      <c r="L34" s="20">
        <v>0</v>
      </c>
      <c r="M34" s="20">
        <v>588.20000000000005</v>
      </c>
      <c r="N34" s="20">
        <f t="shared" si="18"/>
        <v>588.20000000000005</v>
      </c>
      <c r="O34" s="15">
        <v>0</v>
      </c>
      <c r="P34" s="20">
        <f>E34*0.115</f>
        <v>615.25</v>
      </c>
      <c r="Q34" s="15">
        <f>SUM(N34:P34)+G34</f>
        <v>1203.45</v>
      </c>
      <c r="R34" s="284">
        <f>K34-Q34</f>
        <v>4146.55</v>
      </c>
      <c r="S34" s="11">
        <v>256.68</v>
      </c>
      <c r="T34" s="263">
        <f t="shared" si="13"/>
        <v>1096.75</v>
      </c>
      <c r="U34" s="263">
        <f t="shared" si="14"/>
        <v>107</v>
      </c>
      <c r="V34" s="35">
        <f t="shared" si="21"/>
        <v>1460.43</v>
      </c>
    </row>
    <row r="35" spans="2:22" ht="18.75" x14ac:dyDescent="0.3">
      <c r="B35" t="s">
        <v>128</v>
      </c>
      <c r="C35" s="133" t="s">
        <v>101</v>
      </c>
      <c r="D35" t="s">
        <v>81</v>
      </c>
      <c r="E35" s="15">
        <v>5350</v>
      </c>
      <c r="F35" s="29">
        <v>15</v>
      </c>
      <c r="G35" s="15"/>
      <c r="H35" s="15"/>
      <c r="I35" s="77">
        <v>3.4</v>
      </c>
      <c r="J35" s="20"/>
      <c r="K35" s="20">
        <f>E35-I35</f>
        <v>5346.6</v>
      </c>
      <c r="L35" s="20">
        <v>0</v>
      </c>
      <c r="M35" s="15">
        <v>588.20000000000005</v>
      </c>
      <c r="N35" s="15">
        <f>M35-L35</f>
        <v>588.20000000000005</v>
      </c>
      <c r="O35" s="15">
        <v>0</v>
      </c>
      <c r="P35" s="20">
        <f t="shared" si="15"/>
        <v>615.25</v>
      </c>
      <c r="Q35" s="15">
        <f>SUM(N35:P35)+G35</f>
        <v>1203.45</v>
      </c>
      <c r="R35" s="284">
        <f>K35-Q35</f>
        <v>4143.1500000000005</v>
      </c>
      <c r="S35" s="11">
        <v>256.68</v>
      </c>
      <c r="T35" s="263">
        <f t="shared" si="13"/>
        <v>1096.75</v>
      </c>
      <c r="U35" s="263">
        <f t="shared" si="14"/>
        <v>107</v>
      </c>
      <c r="V35" s="35">
        <f t="shared" si="21"/>
        <v>1460.43</v>
      </c>
    </row>
    <row r="36" spans="2:22" ht="18.75" x14ac:dyDescent="0.3">
      <c r="B36" t="s">
        <v>129</v>
      </c>
      <c r="C36" s="133" t="s">
        <v>95</v>
      </c>
      <c r="D36" t="s">
        <v>82</v>
      </c>
      <c r="E36" s="15">
        <v>5350</v>
      </c>
      <c r="F36" s="29">
        <v>15</v>
      </c>
      <c r="G36" s="18">
        <v>1190</v>
      </c>
      <c r="H36" s="15"/>
      <c r="I36" s="15"/>
      <c r="J36" s="15"/>
      <c r="K36" s="15">
        <f t="shared" si="12"/>
        <v>5350</v>
      </c>
      <c r="L36" s="15">
        <v>0</v>
      </c>
      <c r="M36" s="15">
        <v>588.20000000000005</v>
      </c>
      <c r="N36" s="15">
        <f t="shared" si="18"/>
        <v>588.20000000000005</v>
      </c>
      <c r="O36" s="15">
        <v>0</v>
      </c>
      <c r="P36" s="20">
        <f t="shared" si="15"/>
        <v>615.25</v>
      </c>
      <c r="Q36" s="15">
        <f t="shared" si="16"/>
        <v>2393.4499999999998</v>
      </c>
      <c r="R36" s="284">
        <f t="shared" si="17"/>
        <v>2956.55</v>
      </c>
      <c r="S36" s="11">
        <v>256.68</v>
      </c>
      <c r="T36" s="263">
        <f t="shared" si="13"/>
        <v>1096.75</v>
      </c>
      <c r="U36" s="263">
        <f t="shared" si="14"/>
        <v>107</v>
      </c>
      <c r="V36" s="35">
        <f t="shared" si="21"/>
        <v>1460.43</v>
      </c>
    </row>
    <row r="37" spans="2:22" ht="18.75" x14ac:dyDescent="0.3">
      <c r="B37" t="s">
        <v>130</v>
      </c>
      <c r="C37" s="133" t="s">
        <v>102</v>
      </c>
      <c r="D37" t="s">
        <v>82</v>
      </c>
      <c r="E37" s="15">
        <v>5350</v>
      </c>
      <c r="F37" s="29">
        <v>15</v>
      </c>
      <c r="G37" s="20"/>
      <c r="H37" s="15"/>
      <c r="I37" s="77">
        <v>2.5499999999999998</v>
      </c>
      <c r="J37" s="15"/>
      <c r="K37" s="15">
        <f>E37-I37</f>
        <v>5347.45</v>
      </c>
      <c r="L37" s="15">
        <v>0</v>
      </c>
      <c r="M37" s="15">
        <v>588.20000000000005</v>
      </c>
      <c r="N37" s="15">
        <v>588.20000000000005</v>
      </c>
      <c r="O37" s="15">
        <v>0</v>
      </c>
      <c r="P37" s="20">
        <f t="shared" si="15"/>
        <v>615.25</v>
      </c>
      <c r="Q37" s="15">
        <f>SUM(N37:P37)+G37</f>
        <v>1203.45</v>
      </c>
      <c r="R37" s="284">
        <f t="shared" si="17"/>
        <v>4144</v>
      </c>
      <c r="S37" s="11">
        <v>256.68</v>
      </c>
      <c r="T37" s="263">
        <f t="shared" si="13"/>
        <v>1096.75</v>
      </c>
      <c r="U37" s="263">
        <f t="shared" si="14"/>
        <v>107</v>
      </c>
      <c r="V37" s="35">
        <f t="shared" si="21"/>
        <v>1460.43</v>
      </c>
    </row>
    <row r="38" spans="2:22" ht="18.75" x14ac:dyDescent="0.3">
      <c r="B38" t="s">
        <v>131</v>
      </c>
      <c r="C38" s="133" t="s">
        <v>85</v>
      </c>
      <c r="D38" t="s">
        <v>83</v>
      </c>
      <c r="E38" s="15">
        <v>5350</v>
      </c>
      <c r="F38" s="29">
        <v>15</v>
      </c>
      <c r="G38" s="18">
        <v>1784</v>
      </c>
      <c r="H38" s="15"/>
      <c r="I38" s="77"/>
      <c r="J38" s="15"/>
      <c r="K38" s="15">
        <f t="shared" si="12"/>
        <v>5350</v>
      </c>
      <c r="L38" s="15">
        <v>0</v>
      </c>
      <c r="M38" s="15">
        <v>588.20000000000005</v>
      </c>
      <c r="N38" s="15">
        <f t="shared" si="18"/>
        <v>588.20000000000005</v>
      </c>
      <c r="O38" s="15">
        <v>0</v>
      </c>
      <c r="P38" s="20">
        <f t="shared" si="15"/>
        <v>615.25</v>
      </c>
      <c r="Q38" s="15">
        <f t="shared" si="16"/>
        <v>2987.45</v>
      </c>
      <c r="R38" s="284">
        <f t="shared" si="17"/>
        <v>2362.5500000000002</v>
      </c>
      <c r="S38" s="11">
        <v>256.68</v>
      </c>
      <c r="T38" s="263">
        <f t="shared" si="13"/>
        <v>1096.75</v>
      </c>
      <c r="U38" s="263">
        <f t="shared" si="14"/>
        <v>107</v>
      </c>
      <c r="V38" s="35">
        <f t="shared" si="21"/>
        <v>1460.43</v>
      </c>
    </row>
    <row r="39" spans="2:22" ht="18.75" x14ac:dyDescent="0.3">
      <c r="B39" t="s">
        <v>132</v>
      </c>
      <c r="C39" s="133" t="s">
        <v>103</v>
      </c>
      <c r="D39" t="s">
        <v>83</v>
      </c>
      <c r="E39" s="15">
        <v>5350</v>
      </c>
      <c r="F39" s="29">
        <v>15</v>
      </c>
      <c r="G39" s="20"/>
      <c r="H39" s="15"/>
      <c r="I39" s="77">
        <v>1.7</v>
      </c>
      <c r="J39" s="15"/>
      <c r="K39" s="15">
        <f>E39-I39</f>
        <v>5348.3</v>
      </c>
      <c r="L39" s="15">
        <v>0</v>
      </c>
      <c r="M39" s="15">
        <v>588.20000000000005</v>
      </c>
      <c r="N39" s="15">
        <f t="shared" si="18"/>
        <v>588.20000000000005</v>
      </c>
      <c r="O39" s="15">
        <v>0</v>
      </c>
      <c r="P39" s="20">
        <f t="shared" si="15"/>
        <v>615.25</v>
      </c>
      <c r="Q39" s="15">
        <f t="shared" si="16"/>
        <v>1203.45</v>
      </c>
      <c r="R39" s="284">
        <f t="shared" si="17"/>
        <v>4144.8500000000004</v>
      </c>
      <c r="S39" s="11">
        <v>256.68</v>
      </c>
      <c r="T39" s="263">
        <f t="shared" si="13"/>
        <v>1096.75</v>
      </c>
      <c r="U39" s="263">
        <f t="shared" si="14"/>
        <v>107</v>
      </c>
      <c r="V39" s="35">
        <f t="shared" si="21"/>
        <v>1460.43</v>
      </c>
    </row>
    <row r="40" spans="2:22" ht="18.75" x14ac:dyDescent="0.3">
      <c r="B40" s="2" t="s">
        <v>26</v>
      </c>
      <c r="C40" s="270"/>
      <c r="D40" s="30"/>
      <c r="E40" s="34">
        <f>SUM(E29:E39)</f>
        <v>58850</v>
      </c>
      <c r="F40" s="34"/>
      <c r="G40" s="34">
        <f>+G39+G38+G37+G36+G35+G34+G33+G30</f>
        <v>4473</v>
      </c>
      <c r="H40" s="34"/>
      <c r="I40" s="34">
        <f>SUM(I29:I39)</f>
        <v>9.35</v>
      </c>
      <c r="J40" s="34">
        <f>SUM(J29:J39)</f>
        <v>0</v>
      </c>
      <c r="K40" s="34">
        <f>SUM(K29:K39)</f>
        <v>58840.65</v>
      </c>
      <c r="L40" s="34">
        <f t="shared" ref="L40:O40" si="22">SUM(L29:L39)</f>
        <v>0</v>
      </c>
      <c r="M40" s="34">
        <f t="shared" si="22"/>
        <v>6470.1999999999989</v>
      </c>
      <c r="N40" s="34">
        <f t="shared" si="22"/>
        <v>6470.0199999999995</v>
      </c>
      <c r="O40" s="34">
        <f t="shared" si="22"/>
        <v>0</v>
      </c>
      <c r="P40" s="34">
        <f t="shared" ref="P40:V40" si="23">SUM(P29:P39)</f>
        <v>6767.75</v>
      </c>
      <c r="Q40" s="34">
        <f t="shared" si="23"/>
        <v>17710.770000000004</v>
      </c>
      <c r="R40" s="264">
        <f t="shared" si="23"/>
        <v>41129.879999999997</v>
      </c>
      <c r="S40" s="34">
        <f t="shared" si="23"/>
        <v>2823.4799999999996</v>
      </c>
      <c r="T40" s="34">
        <f t="shared" si="23"/>
        <v>12064.25</v>
      </c>
      <c r="U40" s="34">
        <f t="shared" si="23"/>
        <v>1177</v>
      </c>
      <c r="V40" s="34">
        <f t="shared" si="23"/>
        <v>16064.730000000001</v>
      </c>
    </row>
    <row r="41" spans="2:22" ht="18.75" hidden="1" x14ac:dyDescent="0.3">
      <c r="C41" s="133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265"/>
    </row>
    <row r="42" spans="2:22" ht="18.75" x14ac:dyDescent="0.3">
      <c r="B42" s="2" t="s">
        <v>140</v>
      </c>
      <c r="C42" s="270" t="s">
        <v>64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265"/>
    </row>
    <row r="43" spans="2:22" ht="18.75" x14ac:dyDescent="0.3">
      <c r="B43" t="s">
        <v>133</v>
      </c>
      <c r="C43" s="133" t="s">
        <v>225</v>
      </c>
      <c r="D43" t="s">
        <v>78</v>
      </c>
      <c r="E43" s="15">
        <v>5350</v>
      </c>
      <c r="F43" s="29">
        <v>15</v>
      </c>
      <c r="G43" s="15"/>
      <c r="H43" s="15"/>
      <c r="I43" s="15"/>
      <c r="J43" s="20"/>
      <c r="K43" s="20">
        <f t="shared" ref="K43" si="24">E43-I43</f>
        <v>5350</v>
      </c>
      <c r="L43" s="20">
        <v>0</v>
      </c>
      <c r="M43" s="20">
        <v>588.20000000000005</v>
      </c>
      <c r="N43" s="20">
        <f t="shared" ref="N43" si="25">M43-L43</f>
        <v>588.20000000000005</v>
      </c>
      <c r="O43" s="15">
        <v>0</v>
      </c>
      <c r="P43" s="20"/>
      <c r="Q43" s="15">
        <f t="shared" ref="Q43" si="26">SUM(N43:P43)+G43</f>
        <v>588.20000000000005</v>
      </c>
      <c r="R43" s="284">
        <f t="shared" ref="R43" si="27">K43-Q43</f>
        <v>4761.8</v>
      </c>
      <c r="S43" s="11">
        <v>256.68</v>
      </c>
      <c r="T43" s="263"/>
      <c r="U43" s="263"/>
      <c r="V43" s="35">
        <f t="shared" ref="V43" si="28">SUM(S43:U43)</f>
        <v>256.68</v>
      </c>
    </row>
    <row r="44" spans="2:22" ht="18.75" x14ac:dyDescent="0.3">
      <c r="B44" t="s">
        <v>152</v>
      </c>
      <c r="C44" s="133" t="s">
        <v>92</v>
      </c>
      <c r="D44" t="s">
        <v>80</v>
      </c>
      <c r="E44" s="15">
        <v>5350</v>
      </c>
      <c r="F44" s="29">
        <v>15</v>
      </c>
      <c r="G44" s="15"/>
      <c r="H44" s="15"/>
      <c r="I44" s="77">
        <v>2.5499999999999998</v>
      </c>
      <c r="J44" s="15"/>
      <c r="K44" s="15">
        <f>E44-I44</f>
        <v>5347.45</v>
      </c>
      <c r="L44" s="15">
        <v>0</v>
      </c>
      <c r="M44" s="15">
        <v>588.20000000000005</v>
      </c>
      <c r="N44" s="15">
        <v>588.20000000000005</v>
      </c>
      <c r="O44" s="15">
        <v>0</v>
      </c>
      <c r="P44" s="15">
        <v>615.25</v>
      </c>
      <c r="Q44" s="15">
        <f>SUM(N44:P44)+G44</f>
        <v>1203.45</v>
      </c>
      <c r="R44" s="284">
        <f>K44-Q44</f>
        <v>4144</v>
      </c>
      <c r="S44" s="11">
        <v>256.68</v>
      </c>
      <c r="T44" s="263">
        <f>+E44*17.5%+160.5</f>
        <v>1096.75</v>
      </c>
      <c r="U44" s="263">
        <f t="shared" ref="U44" si="29">+E44*2%</f>
        <v>107</v>
      </c>
      <c r="V44" s="35">
        <f t="shared" ref="V44" si="30">SUM(S44:U44)</f>
        <v>1460.43</v>
      </c>
    </row>
    <row r="45" spans="2:22" ht="18.75" x14ac:dyDescent="0.3">
      <c r="B45" t="s">
        <v>220</v>
      </c>
      <c r="C45" s="133" t="s">
        <v>221</v>
      </c>
      <c r="D45" t="s">
        <v>222</v>
      </c>
      <c r="E45" s="15">
        <v>5350</v>
      </c>
      <c r="F45" s="29">
        <v>15</v>
      </c>
      <c r="G45" s="15"/>
      <c r="H45" s="15"/>
      <c r="I45" s="15"/>
      <c r="J45" s="15"/>
      <c r="K45" s="15">
        <f>E45-I45</f>
        <v>5350</v>
      </c>
      <c r="L45" s="15">
        <v>0</v>
      </c>
      <c r="M45" s="15">
        <v>588.20000000000005</v>
      </c>
      <c r="N45" s="15">
        <v>588.20000000000005</v>
      </c>
      <c r="O45" s="15">
        <v>0</v>
      </c>
      <c r="P45" s="15"/>
      <c r="Q45" s="15">
        <f>SUM(N45:P45)+G45</f>
        <v>588.20000000000005</v>
      </c>
      <c r="R45" s="284">
        <f>K45-Q45</f>
        <v>4761.8</v>
      </c>
      <c r="S45" s="11">
        <v>256.68</v>
      </c>
      <c r="T45" s="263"/>
      <c r="U45" s="263"/>
      <c r="V45" s="35">
        <f t="shared" ref="V45" si="31">SUM(S45:U45)</f>
        <v>256.68</v>
      </c>
    </row>
    <row r="46" spans="2:22" ht="18.75" x14ac:dyDescent="0.3">
      <c r="B46" s="2" t="s">
        <v>26</v>
      </c>
      <c r="C46" s="270"/>
      <c r="D46" s="30"/>
      <c r="E46" s="34">
        <f>E43+E44+E45</f>
        <v>16050</v>
      </c>
      <c r="F46" s="34"/>
      <c r="G46" s="34">
        <f t="shared" ref="G46:V46" si="32">G43+G44+G45</f>
        <v>0</v>
      </c>
      <c r="H46" s="34">
        <f t="shared" si="32"/>
        <v>0</v>
      </c>
      <c r="I46" s="34">
        <f t="shared" si="32"/>
        <v>2.5499999999999998</v>
      </c>
      <c r="J46" s="34">
        <f t="shared" si="32"/>
        <v>0</v>
      </c>
      <c r="K46" s="34">
        <f t="shared" si="32"/>
        <v>16047.45</v>
      </c>
      <c r="L46" s="34">
        <f t="shared" si="32"/>
        <v>0</v>
      </c>
      <c r="M46" s="34">
        <f t="shared" si="32"/>
        <v>1764.6000000000001</v>
      </c>
      <c r="N46" s="34">
        <f t="shared" si="32"/>
        <v>1764.6000000000001</v>
      </c>
      <c r="O46" s="34">
        <f t="shared" si="32"/>
        <v>0</v>
      </c>
      <c r="P46" s="34">
        <f>P43+P44+P45</f>
        <v>615.25</v>
      </c>
      <c r="Q46" s="34">
        <f>Q43+Q44+Q45</f>
        <v>2379.8500000000004</v>
      </c>
      <c r="R46" s="264">
        <f>R43+R44+R45</f>
        <v>13667.599999999999</v>
      </c>
      <c r="S46" s="34">
        <f t="shared" si="32"/>
        <v>770.04</v>
      </c>
      <c r="T46" s="34">
        <f t="shared" si="32"/>
        <v>1096.75</v>
      </c>
      <c r="U46" s="34">
        <f t="shared" si="32"/>
        <v>107</v>
      </c>
      <c r="V46" s="34">
        <f t="shared" si="32"/>
        <v>1973.7900000000002</v>
      </c>
    </row>
    <row r="47" spans="2:22" ht="18.75" hidden="1" x14ac:dyDescent="0.3">
      <c r="B47" s="2"/>
      <c r="C47" s="133"/>
      <c r="E47" s="15"/>
      <c r="F47" s="15"/>
      <c r="G47" s="15"/>
      <c r="H47" s="15"/>
      <c r="I47" s="15"/>
      <c r="J47" s="15"/>
      <c r="K47" s="16"/>
      <c r="L47" s="16"/>
      <c r="M47" s="16"/>
      <c r="N47" s="16"/>
      <c r="O47" s="16"/>
      <c r="P47" s="16"/>
      <c r="Q47" s="16"/>
      <c r="R47" s="267"/>
      <c r="S47" s="8"/>
      <c r="T47" s="8"/>
      <c r="U47" s="8"/>
      <c r="V47" s="8"/>
    </row>
    <row r="48" spans="2:22" ht="18.75" x14ac:dyDescent="0.3">
      <c r="B48" s="2" t="s">
        <v>161</v>
      </c>
      <c r="C48" s="270" t="s">
        <v>162</v>
      </c>
      <c r="E48" s="15"/>
      <c r="F48" s="15"/>
      <c r="G48" s="15"/>
      <c r="H48" s="15"/>
      <c r="I48" s="15"/>
      <c r="J48" s="15"/>
      <c r="K48" s="16"/>
      <c r="L48" s="16"/>
      <c r="M48" s="16"/>
      <c r="N48" s="16"/>
      <c r="O48" s="16"/>
      <c r="P48" s="16"/>
      <c r="Q48" s="16"/>
      <c r="R48" s="267"/>
      <c r="S48" s="8"/>
      <c r="T48" s="8"/>
      <c r="U48" s="8"/>
      <c r="V48" s="8"/>
    </row>
    <row r="49" spans="2:22" ht="18.75" x14ac:dyDescent="0.3">
      <c r="B49" t="s">
        <v>163</v>
      </c>
      <c r="C49" s="269" t="s">
        <v>42</v>
      </c>
      <c r="D49" t="s">
        <v>2</v>
      </c>
      <c r="E49" s="15">
        <v>10000</v>
      </c>
      <c r="F49" s="29">
        <v>15</v>
      </c>
      <c r="G49" s="15"/>
      <c r="H49" s="15"/>
      <c r="I49" s="15"/>
      <c r="J49" s="15"/>
      <c r="K49" s="15">
        <f>E49-I49</f>
        <v>10000</v>
      </c>
      <c r="L49" s="15">
        <v>0</v>
      </c>
      <c r="M49" s="15">
        <v>1581.44</v>
      </c>
      <c r="N49" s="15">
        <f>M49-L49</f>
        <v>1581.44</v>
      </c>
      <c r="O49" s="15">
        <v>0</v>
      </c>
      <c r="P49" s="15">
        <f>E49*0.115</f>
        <v>1150</v>
      </c>
      <c r="Q49" s="15">
        <f>SUM(N49:P49)+G49</f>
        <v>2731.44</v>
      </c>
      <c r="R49" s="284">
        <f>K49-Q49</f>
        <v>7268.5599999999995</v>
      </c>
      <c r="S49" s="11">
        <v>285.52999999999997</v>
      </c>
      <c r="T49" s="263">
        <f>+E49*17.5%+300</f>
        <v>2050</v>
      </c>
      <c r="U49" s="263">
        <f t="shared" ref="U49" si="33">+E49*2%</f>
        <v>200</v>
      </c>
      <c r="V49" s="35">
        <f t="shared" ref="V49" si="34">SUM(S49:U49)</f>
        <v>2535.5299999999997</v>
      </c>
    </row>
    <row r="50" spans="2:22" ht="18.75" x14ac:dyDescent="0.3">
      <c r="B50" s="2" t="s">
        <v>26</v>
      </c>
      <c r="E50" s="34">
        <f>E49</f>
        <v>10000</v>
      </c>
      <c r="F50" s="34"/>
      <c r="G50" s="34">
        <f>+G49</f>
        <v>0</v>
      </c>
      <c r="H50" s="34"/>
      <c r="I50" s="34">
        <f>I49</f>
        <v>0</v>
      </c>
      <c r="J50" s="34">
        <f>J49</f>
        <v>0</v>
      </c>
      <c r="K50" s="34">
        <f>K49</f>
        <v>10000</v>
      </c>
      <c r="L50" s="34">
        <f t="shared" ref="L50:V50" si="35">L49</f>
        <v>0</v>
      </c>
      <c r="M50" s="34">
        <f t="shared" si="35"/>
        <v>1581.44</v>
      </c>
      <c r="N50" s="34">
        <f t="shared" si="35"/>
        <v>1581.44</v>
      </c>
      <c r="O50" s="34">
        <f t="shared" si="35"/>
        <v>0</v>
      </c>
      <c r="P50" s="34">
        <f>P49</f>
        <v>1150</v>
      </c>
      <c r="Q50" s="34">
        <f>Q49</f>
        <v>2731.44</v>
      </c>
      <c r="R50" s="264">
        <f>R49</f>
        <v>7268.5599999999995</v>
      </c>
      <c r="S50" s="34">
        <f t="shared" si="35"/>
        <v>285.52999999999997</v>
      </c>
      <c r="T50" s="34">
        <f t="shared" si="35"/>
        <v>2050</v>
      </c>
      <c r="U50" s="34">
        <f t="shared" si="35"/>
        <v>200</v>
      </c>
      <c r="V50" s="34">
        <f t="shared" si="35"/>
        <v>2535.5299999999997</v>
      </c>
    </row>
    <row r="51" spans="2:22" ht="12" customHeight="1" x14ac:dyDescent="0.3">
      <c r="B51" s="2"/>
      <c r="E51" s="15"/>
      <c r="F51" s="15"/>
      <c r="G51" s="15"/>
      <c r="H51" s="15"/>
      <c r="I51" s="15"/>
      <c r="J51" s="15"/>
      <c r="K51" s="16"/>
      <c r="L51" s="16"/>
      <c r="M51" s="16"/>
      <c r="N51" s="16"/>
      <c r="O51" s="16"/>
      <c r="P51" s="16"/>
      <c r="Q51" s="16"/>
      <c r="R51" s="267"/>
      <c r="S51" s="8"/>
      <c r="T51" s="8"/>
      <c r="U51" s="8"/>
      <c r="V51" s="8"/>
    </row>
    <row r="52" spans="2:22" ht="18.75" hidden="1" x14ac:dyDescent="0.3">
      <c r="R52" s="268"/>
    </row>
    <row r="53" spans="2:22" ht="18.75" x14ac:dyDescent="0.3">
      <c r="C53" s="53" t="s">
        <v>105</v>
      </c>
      <c r="E53" s="17">
        <f>E9+E20+E26+E40+E46+E50</f>
        <v>164304.95000000001</v>
      </c>
      <c r="F53" s="17"/>
      <c r="G53" s="17">
        <f>G9+G20+G26+G40+G46+G50</f>
        <v>16542</v>
      </c>
      <c r="H53" s="17"/>
      <c r="I53" s="17">
        <f t="shared" ref="I53:V53" si="36">I9+I20+I26+I40+I46+I50</f>
        <v>17</v>
      </c>
      <c r="J53" s="17">
        <f t="shared" si="36"/>
        <v>0</v>
      </c>
      <c r="K53" s="17">
        <f t="shared" si="36"/>
        <v>164287.95000000001</v>
      </c>
      <c r="L53" s="17">
        <f t="shared" si="36"/>
        <v>274.08999999999997</v>
      </c>
      <c r="M53" s="17">
        <f t="shared" si="36"/>
        <v>20086.449999999997</v>
      </c>
      <c r="N53" s="17">
        <f t="shared" si="36"/>
        <v>19813.629999999997</v>
      </c>
      <c r="O53" s="17">
        <f t="shared" si="36"/>
        <v>0</v>
      </c>
      <c r="P53" s="17">
        <f t="shared" si="36"/>
        <v>17049.31925</v>
      </c>
      <c r="Q53" s="17">
        <f>Q9+Q20+Q26+Q40+Q46+Q50</f>
        <v>53404.949250000005</v>
      </c>
      <c r="R53" s="54">
        <f>R9+R20+R26+R40+R46+R50</f>
        <v>110883.00075000001</v>
      </c>
      <c r="S53" s="17">
        <f t="shared" si="36"/>
        <v>7277.0599999999995</v>
      </c>
      <c r="T53" s="17">
        <f t="shared" si="36"/>
        <v>30392.266250000001</v>
      </c>
      <c r="U53" s="17">
        <f t="shared" si="36"/>
        <v>2965.0990000000002</v>
      </c>
      <c r="V53" s="55">
        <f t="shared" si="36"/>
        <v>40634.42525</v>
      </c>
    </row>
    <row r="62" spans="2:22" ht="16.5" thickBot="1" x14ac:dyDescent="0.3">
      <c r="E62" s="375"/>
      <c r="F62" s="375"/>
      <c r="G62" s="280"/>
      <c r="H62" s="280"/>
      <c r="P62" s="376"/>
      <c r="Q62" s="376"/>
    </row>
    <row r="63" spans="2:22" ht="15" x14ac:dyDescent="0.25">
      <c r="E63" s="377" t="s">
        <v>177</v>
      </c>
      <c r="F63" s="377"/>
      <c r="G63" s="281"/>
      <c r="H63" s="281"/>
      <c r="P63" s="26"/>
      <c r="Q63" s="26"/>
      <c r="R63" s="378" t="s">
        <v>157</v>
      </c>
      <c r="S63" s="378"/>
      <c r="T63" s="280"/>
    </row>
    <row r="67" spans="3:3" x14ac:dyDescent="0.25">
      <c r="C67" t="s">
        <v>174</v>
      </c>
    </row>
  </sheetData>
  <mergeCells count="5">
    <mergeCell ref="B4:V4"/>
    <mergeCell ref="E62:F62"/>
    <mergeCell ref="P62:Q62"/>
    <mergeCell ref="E63:F63"/>
    <mergeCell ref="R63:S63"/>
  </mergeCells>
  <pageMargins left="0.51181102362204722" right="0.51181102362204722" top="0.15748031496062992" bottom="0.35433070866141736" header="0.31496062992125984" footer="0.31496062992125984"/>
  <pageSetup scale="38" fitToHeight="0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W68"/>
  <sheetViews>
    <sheetView topLeftCell="A14" zoomScale="85" zoomScaleNormal="85" workbookViewId="0">
      <selection activeCell="G37" sqref="G37"/>
    </sheetView>
  </sheetViews>
  <sheetFormatPr baseColWidth="10" defaultRowHeight="15.75" x14ac:dyDescent="0.25"/>
  <cols>
    <col min="1" max="1" width="0.7109375" customWidth="1"/>
    <col min="2" max="2" width="17.140625" customWidth="1"/>
    <col min="3" max="3" width="36.5703125" customWidth="1"/>
    <col min="4" max="4" width="28" customWidth="1"/>
    <col min="5" max="5" width="18.42578125" customWidth="1"/>
    <col min="6" max="6" width="12.7109375" customWidth="1"/>
    <col min="7" max="7" width="12.28515625" customWidth="1"/>
    <col min="8" max="8" width="14.140625" hidden="1" customWidth="1"/>
    <col min="9" max="9" width="13.85546875" customWidth="1"/>
    <col min="10" max="10" width="11.42578125" customWidth="1"/>
    <col min="11" max="11" width="15.85546875" customWidth="1"/>
    <col min="12" max="12" width="9.42578125" customWidth="1"/>
    <col min="13" max="14" width="14.42578125" customWidth="1"/>
    <col min="15" max="15" width="11.42578125" hidden="1" customWidth="1"/>
    <col min="16" max="16" width="12.85546875" customWidth="1"/>
    <col min="17" max="17" width="16.5703125" customWidth="1"/>
    <col min="18" max="18" width="18.28515625" style="133" customWidth="1"/>
    <col min="19" max="20" width="16.140625" customWidth="1"/>
    <col min="21" max="21" width="14.85546875" customWidth="1"/>
    <col min="22" max="22" width="17" customWidth="1"/>
  </cols>
  <sheetData>
    <row r="3" spans="2:23" x14ac:dyDescent="0.25"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29"/>
    </row>
    <row r="4" spans="2:23" ht="16.5" customHeight="1" x14ac:dyDescent="0.25">
      <c r="B4" s="380" t="s">
        <v>227</v>
      </c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</row>
    <row r="5" spans="2:23" s="56" customFormat="1" ht="56.25" x14ac:dyDescent="0.25">
      <c r="B5" s="120" t="s">
        <v>9</v>
      </c>
      <c r="C5" s="119" t="s">
        <v>10</v>
      </c>
      <c r="D5" s="103" t="s">
        <v>0</v>
      </c>
      <c r="E5" s="61" t="s">
        <v>11</v>
      </c>
      <c r="F5" s="100" t="s">
        <v>150</v>
      </c>
      <c r="G5" s="117" t="s">
        <v>180</v>
      </c>
      <c r="H5" s="118" t="s">
        <v>182</v>
      </c>
      <c r="I5" s="97" t="s">
        <v>169</v>
      </c>
      <c r="J5" s="103" t="s">
        <v>170</v>
      </c>
      <c r="K5" s="103" t="s">
        <v>12</v>
      </c>
      <c r="L5" s="99" t="s">
        <v>107</v>
      </c>
      <c r="M5" s="100" t="s">
        <v>143</v>
      </c>
      <c r="N5" s="100" t="s">
        <v>13</v>
      </c>
      <c r="O5" s="101" t="s">
        <v>171</v>
      </c>
      <c r="P5" s="116" t="s">
        <v>16</v>
      </c>
      <c r="Q5" s="115" t="s">
        <v>17</v>
      </c>
      <c r="R5" s="130" t="s">
        <v>72</v>
      </c>
      <c r="S5" s="99" t="s">
        <v>8</v>
      </c>
      <c r="T5" s="99" t="s">
        <v>218</v>
      </c>
      <c r="U5" s="123" t="s">
        <v>18</v>
      </c>
      <c r="V5" s="123" t="s">
        <v>73</v>
      </c>
      <c r="W5" s="102"/>
    </row>
    <row r="6" spans="2:23" x14ac:dyDescent="0.25">
      <c r="B6" s="107" t="s">
        <v>19</v>
      </c>
      <c r="C6" s="121" t="s">
        <v>20</v>
      </c>
      <c r="D6" s="121"/>
      <c r="E6" s="95"/>
      <c r="F6" s="15"/>
      <c r="G6" s="114"/>
      <c r="H6" s="15"/>
      <c r="I6" s="95"/>
      <c r="J6" s="95"/>
      <c r="K6" s="95"/>
      <c r="L6" s="15"/>
      <c r="M6" s="15"/>
      <c r="N6" s="15"/>
      <c r="O6" s="95"/>
      <c r="P6" s="15"/>
      <c r="Q6" s="95"/>
      <c r="R6" s="129"/>
    </row>
    <row r="7" spans="2:23" ht="18.75" x14ac:dyDescent="0.3">
      <c r="B7" t="s">
        <v>21</v>
      </c>
      <c r="C7" s="269" t="s">
        <v>22</v>
      </c>
      <c r="D7" t="s">
        <v>25</v>
      </c>
      <c r="E7" s="15">
        <v>17633.150000000001</v>
      </c>
      <c r="F7" s="29">
        <v>15</v>
      </c>
      <c r="G7" s="287">
        <v>2700</v>
      </c>
      <c r="H7" s="15"/>
      <c r="I7" s="15"/>
      <c r="J7" s="15"/>
      <c r="K7" s="15">
        <f>E7-I7</f>
        <v>17633.150000000001</v>
      </c>
      <c r="L7" s="15">
        <v>0</v>
      </c>
      <c r="M7" s="15">
        <v>3450.395</v>
      </c>
      <c r="N7" s="15">
        <f>M7-L7</f>
        <v>3450.395</v>
      </c>
      <c r="O7" s="15">
        <v>0</v>
      </c>
      <c r="P7" s="287">
        <f>E7*0.115-0.01</f>
        <v>2027.8022500000002</v>
      </c>
      <c r="Q7" s="15">
        <f>SUM(N7:P7)+G7</f>
        <v>8178.1972500000002</v>
      </c>
      <c r="R7" s="291">
        <f>K7-Q7</f>
        <v>9454.9527500000004</v>
      </c>
      <c r="S7" s="263">
        <f>+'[1]IMSS INCREMENTO 4%'!$AR$2/2</f>
        <v>684.75956133216448</v>
      </c>
      <c r="T7" s="263">
        <f>+E7*17.5%+528.99</f>
        <v>3614.7912500000002</v>
      </c>
      <c r="U7" s="288">
        <f>+E7*2%</f>
        <v>352.66300000000001</v>
      </c>
      <c r="V7" s="35">
        <f>SUM(S7:U7)</f>
        <v>4652.2138113321653</v>
      </c>
    </row>
    <row r="8" spans="2:23" ht="18.75" x14ac:dyDescent="0.3">
      <c r="B8" t="s">
        <v>23</v>
      </c>
      <c r="C8" s="269" t="s">
        <v>24</v>
      </c>
      <c r="D8" t="s">
        <v>3</v>
      </c>
      <c r="E8" s="15">
        <v>5044</v>
      </c>
      <c r="F8" s="29">
        <v>15</v>
      </c>
      <c r="G8" s="287">
        <v>809</v>
      </c>
      <c r="H8" s="15"/>
      <c r="I8" s="15"/>
      <c r="J8" s="15"/>
      <c r="K8" s="15">
        <f>E8-I8</f>
        <v>5044</v>
      </c>
      <c r="L8" s="15">
        <v>0</v>
      </c>
      <c r="M8" s="15">
        <v>526.46</v>
      </c>
      <c r="N8" s="15">
        <f>M8-L8</f>
        <v>526.46</v>
      </c>
      <c r="O8" s="15">
        <v>0</v>
      </c>
      <c r="P8" s="287">
        <f>E8*0.115</f>
        <v>580.06000000000006</v>
      </c>
      <c r="Q8" s="15">
        <f>SUM(N8:P8)+G8</f>
        <v>1915.52</v>
      </c>
      <c r="R8" s="291">
        <f>K8-Q8</f>
        <v>3128.48</v>
      </c>
      <c r="S8" s="263">
        <f>+'[1]IMSS INCREMENTO 4%'!$AR$3/2</f>
        <v>331.41678275799086</v>
      </c>
      <c r="T8" s="263">
        <f>+E8*17.5%+151.32</f>
        <v>1034.02</v>
      </c>
      <c r="U8" s="288">
        <f>+E8*2%</f>
        <v>100.88</v>
      </c>
      <c r="V8" s="35">
        <f>SUM(S8:U8)</f>
        <v>1466.3167827579909</v>
      </c>
    </row>
    <row r="9" spans="2:23" ht="18.75" x14ac:dyDescent="0.3">
      <c r="B9" s="7" t="s">
        <v>26</v>
      </c>
      <c r="C9" s="270"/>
      <c r="D9" s="30"/>
      <c r="E9" s="34">
        <f>SUM(E7:E8)</f>
        <v>22677.15</v>
      </c>
      <c r="F9" s="34"/>
      <c r="G9" s="34">
        <f>+G8+G7</f>
        <v>3509</v>
      </c>
      <c r="H9" s="34"/>
      <c r="I9" s="34">
        <f t="shared" ref="I9:V9" si="0">SUM(I7:I8)</f>
        <v>0</v>
      </c>
      <c r="J9" s="34">
        <f t="shared" si="0"/>
        <v>0</v>
      </c>
      <c r="K9" s="34">
        <f t="shared" si="0"/>
        <v>22677.15</v>
      </c>
      <c r="L9" s="34">
        <f t="shared" si="0"/>
        <v>0</v>
      </c>
      <c r="M9" s="34">
        <f t="shared" si="0"/>
        <v>3976.855</v>
      </c>
      <c r="N9" s="34">
        <f t="shared" si="0"/>
        <v>3976.855</v>
      </c>
      <c r="O9" s="34">
        <f t="shared" si="0"/>
        <v>0</v>
      </c>
      <c r="P9" s="34">
        <f>SUM(P7:P8)</f>
        <v>2607.8622500000001</v>
      </c>
      <c r="Q9" s="34">
        <f t="shared" si="0"/>
        <v>10093.71725</v>
      </c>
      <c r="R9" s="264">
        <f>SUM(R7:R8)</f>
        <v>12583.43275</v>
      </c>
      <c r="S9" s="34">
        <f t="shared" si="0"/>
        <v>1016.1763440901553</v>
      </c>
      <c r="T9" s="34">
        <f t="shared" si="0"/>
        <v>4648.8112500000007</v>
      </c>
      <c r="U9" s="34">
        <f t="shared" si="0"/>
        <v>453.54300000000001</v>
      </c>
      <c r="V9" s="34">
        <f t="shared" si="0"/>
        <v>6118.5305940901562</v>
      </c>
    </row>
    <row r="10" spans="2:23" ht="10.5" hidden="1" customHeight="1" x14ac:dyDescent="0.3">
      <c r="C10" s="133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265"/>
    </row>
    <row r="11" spans="2:23" ht="18.75" x14ac:dyDescent="0.3">
      <c r="B11" s="2" t="s">
        <v>27</v>
      </c>
      <c r="C11" s="270" t="s">
        <v>28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265"/>
    </row>
    <row r="12" spans="2:23" ht="18.75" x14ac:dyDescent="0.3">
      <c r="B12" t="s">
        <v>32</v>
      </c>
      <c r="C12" s="269" t="s">
        <v>37</v>
      </c>
      <c r="D12" t="s">
        <v>230</v>
      </c>
      <c r="E12" s="15">
        <v>10400</v>
      </c>
      <c r="F12" s="29">
        <v>15</v>
      </c>
      <c r="G12" s="287">
        <v>3334</v>
      </c>
      <c r="H12" s="15"/>
      <c r="I12" s="15"/>
      <c r="J12" s="15"/>
      <c r="K12" s="15">
        <f t="shared" ref="K12:K18" si="1">E12-I12</f>
        <v>10400</v>
      </c>
      <c r="L12" s="15">
        <v>0</v>
      </c>
      <c r="M12" s="15">
        <v>1667.21</v>
      </c>
      <c r="N12" s="15">
        <f t="shared" ref="N12:N17" si="2">M12-L12</f>
        <v>1667.21</v>
      </c>
      <c r="O12" s="15">
        <v>0</v>
      </c>
      <c r="P12" s="287">
        <f t="shared" ref="P12:P17" si="3">E12*0.115</f>
        <v>1196</v>
      </c>
      <c r="Q12" s="15">
        <f>SUM(N12:P12)+G12</f>
        <v>6197.21</v>
      </c>
      <c r="R12" s="291">
        <f t="shared" ref="R12:R19" si="4">K12-Q12</f>
        <v>4202.79</v>
      </c>
      <c r="S12" s="263">
        <f>+'[1]IMSS INCREMENTO 4%'!$AR$4/2</f>
        <v>481.74497987214613</v>
      </c>
      <c r="T12" s="263">
        <f>+E12*17.5%+312</f>
        <v>2132</v>
      </c>
      <c r="U12" s="288">
        <f>+E12*2%</f>
        <v>208</v>
      </c>
      <c r="V12" s="35">
        <f t="shared" ref="V12:V19" si="5">SUM(S12:U12)</f>
        <v>2821.7449798721464</v>
      </c>
    </row>
    <row r="13" spans="2:23" ht="18.75" x14ac:dyDescent="0.3">
      <c r="B13" t="s">
        <v>33</v>
      </c>
      <c r="C13" s="269" t="s">
        <v>38</v>
      </c>
      <c r="D13" t="s">
        <v>232</v>
      </c>
      <c r="E13" s="15">
        <v>5564</v>
      </c>
      <c r="F13" s="29">
        <v>15</v>
      </c>
      <c r="G13" s="15"/>
      <c r="H13" s="15"/>
      <c r="I13" s="77"/>
      <c r="J13" s="19"/>
      <c r="K13" s="15">
        <f>E13-I13</f>
        <v>5564</v>
      </c>
      <c r="L13" s="15">
        <v>0</v>
      </c>
      <c r="M13" s="15">
        <v>633.91</v>
      </c>
      <c r="N13" s="15">
        <f t="shared" si="2"/>
        <v>633.91</v>
      </c>
      <c r="O13" s="15">
        <v>0</v>
      </c>
      <c r="P13" s="287">
        <f t="shared" si="3"/>
        <v>639.86</v>
      </c>
      <c r="Q13" s="15">
        <f t="shared" ref="Q13:Q19" si="6">SUM(N13:P13)+G13</f>
        <v>1273.77</v>
      </c>
      <c r="R13" s="291">
        <f>K13-Q13</f>
        <v>4290.2299999999996</v>
      </c>
      <c r="S13" s="263">
        <f>+'[1]IMSS INCREMENTO 4%'!$AR$5/2</f>
        <v>346.01175335159814</v>
      </c>
      <c r="T13" s="263">
        <f>+E13*17.5%+166.92</f>
        <v>1140.6199999999999</v>
      </c>
      <c r="U13" s="288">
        <f>+E13*2%</f>
        <v>111.28</v>
      </c>
      <c r="V13" s="35">
        <f t="shared" si="5"/>
        <v>1597.911753351598</v>
      </c>
    </row>
    <row r="14" spans="2:23" ht="18.75" x14ac:dyDescent="0.3">
      <c r="B14" t="s">
        <v>34</v>
      </c>
      <c r="C14" s="269" t="s">
        <v>178</v>
      </c>
      <c r="D14" t="s">
        <v>231</v>
      </c>
      <c r="E14" s="15">
        <v>5564</v>
      </c>
      <c r="F14" s="29">
        <v>15</v>
      </c>
      <c r="G14" s="15"/>
      <c r="H14" s="20"/>
      <c r="I14" s="77"/>
      <c r="J14" s="19"/>
      <c r="K14" s="15">
        <f>+E14+H14-I14</f>
        <v>5564</v>
      </c>
      <c r="L14" s="15">
        <v>0</v>
      </c>
      <c r="M14" s="15">
        <v>633.91</v>
      </c>
      <c r="N14" s="15">
        <f t="shared" si="2"/>
        <v>633.91</v>
      </c>
      <c r="O14" s="15">
        <v>0</v>
      </c>
      <c r="P14" s="287">
        <f t="shared" si="3"/>
        <v>639.86</v>
      </c>
      <c r="Q14" s="15">
        <f>SUM(N14:P14)+G14</f>
        <v>1273.77</v>
      </c>
      <c r="R14" s="291">
        <f>K14-Q14</f>
        <v>4290.2299999999996</v>
      </c>
      <c r="S14" s="263">
        <f>+'[1]IMSS INCREMENTO 4%'!$AR$6/2</f>
        <v>346.01175335159814</v>
      </c>
      <c r="T14" s="263">
        <f>+E14*17.5%+166.92</f>
        <v>1140.6199999999999</v>
      </c>
      <c r="U14" s="288">
        <f t="shared" ref="U14:U19" si="7">+E14*2%</f>
        <v>111.28</v>
      </c>
      <c r="V14" s="35">
        <f t="shared" si="5"/>
        <v>1597.911753351598</v>
      </c>
    </row>
    <row r="15" spans="2:23" ht="18.75" x14ac:dyDescent="0.3">
      <c r="B15" t="s">
        <v>35</v>
      </c>
      <c r="C15" s="133" t="s">
        <v>111</v>
      </c>
      <c r="D15" t="s">
        <v>77</v>
      </c>
      <c r="E15" s="15">
        <v>6240</v>
      </c>
      <c r="F15" s="29">
        <v>15</v>
      </c>
      <c r="G15" s="15"/>
      <c r="H15" s="15"/>
      <c r="I15" s="15"/>
      <c r="J15" s="15"/>
      <c r="K15" s="15">
        <f t="shared" si="1"/>
        <v>6240</v>
      </c>
      <c r="L15" s="15">
        <v>0</v>
      </c>
      <c r="M15" s="15">
        <v>778.31</v>
      </c>
      <c r="N15" s="15">
        <f t="shared" si="2"/>
        <v>778.31</v>
      </c>
      <c r="O15" s="15">
        <v>0</v>
      </c>
      <c r="P15" s="287">
        <f>E15*0.115</f>
        <v>717.6</v>
      </c>
      <c r="Q15" s="15">
        <f t="shared" si="6"/>
        <v>1495.9099999999999</v>
      </c>
      <c r="R15" s="291">
        <f t="shared" si="4"/>
        <v>4744.09</v>
      </c>
      <c r="S15" s="263">
        <f>+'[1]IMSS INCREMENTO 4%'!$AR$7/2</f>
        <v>364.98521512328773</v>
      </c>
      <c r="T15" s="263">
        <f>+E15*17.5%+187.2</f>
        <v>1279.2</v>
      </c>
      <c r="U15" s="288">
        <f t="shared" si="7"/>
        <v>124.8</v>
      </c>
      <c r="V15" s="35">
        <f t="shared" si="5"/>
        <v>1768.9852151232878</v>
      </c>
    </row>
    <row r="16" spans="2:23" ht="18.75" x14ac:dyDescent="0.3">
      <c r="B16" t="s">
        <v>36</v>
      </c>
      <c r="C16" s="133" t="s">
        <v>86</v>
      </c>
      <c r="D16" t="s">
        <v>233</v>
      </c>
      <c r="E16" s="15">
        <v>4680</v>
      </c>
      <c r="F16" s="29">
        <v>15</v>
      </c>
      <c r="G16" s="287">
        <v>1000</v>
      </c>
      <c r="H16" s="15"/>
      <c r="I16" s="15"/>
      <c r="J16" s="15"/>
      <c r="K16" s="15">
        <f t="shared" si="1"/>
        <v>4680</v>
      </c>
      <c r="L16" s="15">
        <v>0</v>
      </c>
      <c r="M16" s="15">
        <v>461.23</v>
      </c>
      <c r="N16" s="15">
        <f t="shared" si="2"/>
        <v>461.23</v>
      </c>
      <c r="O16" s="15">
        <v>0</v>
      </c>
      <c r="P16" s="287">
        <f t="shared" si="3"/>
        <v>538.20000000000005</v>
      </c>
      <c r="Q16" s="15">
        <f t="shared" si="6"/>
        <v>1999.43</v>
      </c>
      <c r="R16" s="291">
        <f t="shared" si="4"/>
        <v>2680.5699999999997</v>
      </c>
      <c r="S16" s="263">
        <f>+'[1]IMSS INCREMENTO 4%'!$AR$8/2</f>
        <v>321.20030334246576</v>
      </c>
      <c r="T16" s="263">
        <f>+E16*17.5%+140.4</f>
        <v>959.4</v>
      </c>
      <c r="U16" s="288">
        <f t="shared" si="7"/>
        <v>93.600000000000009</v>
      </c>
      <c r="V16" s="35">
        <f t="shared" si="5"/>
        <v>1374.2003033424658</v>
      </c>
    </row>
    <row r="17" spans="2:22" ht="18.75" x14ac:dyDescent="0.3">
      <c r="B17" t="s">
        <v>115</v>
      </c>
      <c r="C17" s="133" t="s">
        <v>87</v>
      </c>
      <c r="D17" t="s">
        <v>234</v>
      </c>
      <c r="E17" s="15">
        <v>4680</v>
      </c>
      <c r="F17" s="29">
        <v>15</v>
      </c>
      <c r="G17" s="287">
        <v>797</v>
      </c>
      <c r="H17" s="15"/>
      <c r="I17" s="15"/>
      <c r="J17" s="15"/>
      <c r="K17" s="15">
        <f t="shared" si="1"/>
        <v>4680</v>
      </c>
      <c r="L17" s="15">
        <v>0</v>
      </c>
      <c r="M17" s="15">
        <v>461.23</v>
      </c>
      <c r="N17" s="15">
        <f t="shared" si="2"/>
        <v>461.23</v>
      </c>
      <c r="O17" s="15">
        <v>0</v>
      </c>
      <c r="P17" s="287">
        <f t="shared" si="3"/>
        <v>538.20000000000005</v>
      </c>
      <c r="Q17" s="15">
        <f t="shared" si="6"/>
        <v>1796.43</v>
      </c>
      <c r="R17" s="291">
        <f t="shared" si="4"/>
        <v>2883.5699999999997</v>
      </c>
      <c r="S17" s="263">
        <f>+'[1]IMSS INCREMENTO 4%'!$AR$9/2</f>
        <v>321.20030334246576</v>
      </c>
      <c r="T17" s="263">
        <f>+E17*17.5%+140.4</f>
        <v>959.4</v>
      </c>
      <c r="U17" s="288">
        <f t="shared" si="7"/>
        <v>93.600000000000009</v>
      </c>
      <c r="V17" s="35">
        <f t="shared" si="5"/>
        <v>1374.2003033424658</v>
      </c>
    </row>
    <row r="18" spans="2:22" ht="18.75" x14ac:dyDescent="0.3">
      <c r="B18" t="s">
        <v>116</v>
      </c>
      <c r="C18" s="133" t="s">
        <v>89</v>
      </c>
      <c r="D18" t="s">
        <v>4</v>
      </c>
      <c r="E18" s="15">
        <v>2808</v>
      </c>
      <c r="F18" s="29">
        <v>15</v>
      </c>
      <c r="G18" s="287">
        <v>600</v>
      </c>
      <c r="H18" s="15"/>
      <c r="I18" s="15"/>
      <c r="J18" s="15"/>
      <c r="K18" s="15">
        <f t="shared" si="1"/>
        <v>2808</v>
      </c>
      <c r="L18" s="15">
        <v>147.32</v>
      </c>
      <c r="M18" s="15">
        <v>200.09</v>
      </c>
      <c r="N18" s="15">
        <f>+M18-L18</f>
        <v>52.77000000000001</v>
      </c>
      <c r="O18" s="15">
        <v>0</v>
      </c>
      <c r="P18" s="287">
        <f>E18*0.115</f>
        <v>322.92</v>
      </c>
      <c r="Q18" s="15">
        <f t="shared" si="6"/>
        <v>975.69</v>
      </c>
      <c r="R18" s="291">
        <f t="shared" si="4"/>
        <v>1832.31</v>
      </c>
      <c r="S18" s="263">
        <f>+'[1]IMSS INCREMENTO 4%'!$AR$10/2</f>
        <v>268.65840920547942</v>
      </c>
      <c r="T18" s="263">
        <f>+E18*17.5%+84.24</f>
        <v>575.64</v>
      </c>
      <c r="U18" s="288">
        <f t="shared" si="7"/>
        <v>56.160000000000004</v>
      </c>
      <c r="V18" s="35">
        <f t="shared" si="5"/>
        <v>900.45840920547937</v>
      </c>
    </row>
    <row r="19" spans="2:22" ht="18.75" x14ac:dyDescent="0.3">
      <c r="B19" t="s">
        <v>117</v>
      </c>
      <c r="C19" s="133" t="s">
        <v>88</v>
      </c>
      <c r="D19" t="s">
        <v>235</v>
      </c>
      <c r="E19" s="15">
        <v>3276</v>
      </c>
      <c r="F19" s="29">
        <v>15</v>
      </c>
      <c r="G19" s="287">
        <v>525</v>
      </c>
      <c r="H19" s="15"/>
      <c r="I19" s="15"/>
      <c r="J19" s="15"/>
      <c r="K19" s="15">
        <f>E19-I19</f>
        <v>3276</v>
      </c>
      <c r="L19" s="15">
        <v>126.77</v>
      </c>
      <c r="M19" s="15">
        <v>251</v>
      </c>
      <c r="N19" s="15">
        <f>+M19-L19</f>
        <v>124.23</v>
      </c>
      <c r="O19" s="15">
        <v>0</v>
      </c>
      <c r="P19" s="287">
        <f>E19*0.115</f>
        <v>376.74</v>
      </c>
      <c r="Q19" s="15">
        <f t="shared" si="6"/>
        <v>1025.97</v>
      </c>
      <c r="R19" s="291">
        <f t="shared" si="4"/>
        <v>2250.0299999999997</v>
      </c>
      <c r="S19" s="263">
        <f>+'[1]IMSS INCREMENTO 4%'!$AR$11/2</f>
        <v>281.79388273972603</v>
      </c>
      <c r="T19" s="263">
        <f>+E19*17.5%+98.28</f>
        <v>671.57999999999993</v>
      </c>
      <c r="U19" s="288">
        <f t="shared" si="7"/>
        <v>65.52</v>
      </c>
      <c r="V19" s="35">
        <f t="shared" si="5"/>
        <v>1018.893882739726</v>
      </c>
    </row>
    <row r="20" spans="2:22" ht="18.75" x14ac:dyDescent="0.3">
      <c r="B20" s="2" t="s">
        <v>26</v>
      </c>
      <c r="C20" s="270"/>
      <c r="D20" s="30"/>
      <c r="E20" s="34">
        <f>SUM(E12:E19)</f>
        <v>43212</v>
      </c>
      <c r="F20" s="34"/>
      <c r="G20" s="34">
        <f>+G19+G18+G17+G16+G12</f>
        <v>6256</v>
      </c>
      <c r="H20" s="34"/>
      <c r="I20" s="34">
        <f t="shared" ref="I20:V20" si="8">SUM(I12:I19)</f>
        <v>0</v>
      </c>
      <c r="J20" s="34">
        <f t="shared" si="8"/>
        <v>0</v>
      </c>
      <c r="K20" s="34">
        <f t="shared" si="8"/>
        <v>43212</v>
      </c>
      <c r="L20" s="34">
        <f t="shared" si="8"/>
        <v>274.08999999999997</v>
      </c>
      <c r="M20" s="34">
        <f t="shared" si="8"/>
        <v>5086.8899999999994</v>
      </c>
      <c r="N20" s="34">
        <f t="shared" si="8"/>
        <v>4812.7999999999993</v>
      </c>
      <c r="O20" s="34">
        <f t="shared" si="8"/>
        <v>0</v>
      </c>
      <c r="P20" s="34">
        <f>SUM(P12:P19)</f>
        <v>4969.38</v>
      </c>
      <c r="Q20" s="34">
        <f t="shared" si="8"/>
        <v>16038.18</v>
      </c>
      <c r="R20" s="264">
        <f>SUM(R12:R19)</f>
        <v>27173.82</v>
      </c>
      <c r="S20" s="34">
        <f t="shared" si="8"/>
        <v>2731.6066003287674</v>
      </c>
      <c r="T20" s="34">
        <f t="shared" si="8"/>
        <v>8858.4599999999991</v>
      </c>
      <c r="U20" s="34">
        <f t="shared" si="8"/>
        <v>864.2399999999999</v>
      </c>
      <c r="V20" s="34">
        <f t="shared" si="8"/>
        <v>12454.306600328768</v>
      </c>
    </row>
    <row r="21" spans="2:22" ht="18.75" hidden="1" x14ac:dyDescent="0.3">
      <c r="B21" s="2"/>
      <c r="C21" s="133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265"/>
    </row>
    <row r="22" spans="2:22" ht="18.75" x14ac:dyDescent="0.3">
      <c r="B22" s="2" t="s">
        <v>50</v>
      </c>
      <c r="C22" s="270" t="s">
        <v>160</v>
      </c>
      <c r="E22" s="15"/>
      <c r="F22" s="15"/>
      <c r="G22" s="15"/>
      <c r="H22" s="15"/>
      <c r="I22" s="15"/>
      <c r="J22" s="15"/>
      <c r="K22" s="113"/>
      <c r="L22" s="113"/>
      <c r="M22" s="15"/>
      <c r="N22" s="15"/>
      <c r="O22" s="15"/>
      <c r="P22" s="15"/>
      <c r="Q22" s="15"/>
      <c r="R22" s="265"/>
    </row>
    <row r="23" spans="2:22" ht="18.75" x14ac:dyDescent="0.3">
      <c r="B23" t="s">
        <v>119</v>
      </c>
      <c r="C23" s="133" t="s">
        <v>224</v>
      </c>
      <c r="D23" t="s">
        <v>236</v>
      </c>
      <c r="E23" s="15">
        <v>5350</v>
      </c>
      <c r="F23" s="29">
        <v>15</v>
      </c>
      <c r="G23" s="20"/>
      <c r="H23" s="15"/>
      <c r="I23" s="15"/>
      <c r="J23" s="15"/>
      <c r="K23" s="15">
        <f>E23-I23</f>
        <v>5350</v>
      </c>
      <c r="L23" s="15">
        <v>0</v>
      </c>
      <c r="M23" s="20">
        <v>588.20000000000005</v>
      </c>
      <c r="N23" s="15">
        <f>M23-L23</f>
        <v>588.20000000000005</v>
      </c>
      <c r="O23" s="15">
        <v>0</v>
      </c>
      <c r="P23" s="20"/>
      <c r="Q23" s="15">
        <f>SUM(N23:P23)+G23</f>
        <v>588.20000000000005</v>
      </c>
      <c r="R23" s="291">
        <f>K23-Q23</f>
        <v>4761.8</v>
      </c>
      <c r="S23" s="263">
        <f>+'[1]IMSS INCREMENTO 4%'!$AR$13/2</f>
        <v>340.00536160730593</v>
      </c>
      <c r="T23" s="263"/>
      <c r="U23" s="263"/>
      <c r="V23" s="35">
        <f t="shared" ref="V23" si="9">SUM(S23:U23)</f>
        <v>340.00536160730593</v>
      </c>
    </row>
    <row r="24" spans="2:22" ht="18.75" x14ac:dyDescent="0.3">
      <c r="B24" t="s">
        <v>228</v>
      </c>
      <c r="C24" s="133" t="s">
        <v>229</v>
      </c>
      <c r="D24" t="s">
        <v>237</v>
      </c>
      <c r="E24" s="15">
        <v>5350</v>
      </c>
      <c r="F24" s="29">
        <v>15</v>
      </c>
      <c r="G24" s="20"/>
      <c r="H24" s="15"/>
      <c r="I24" s="15"/>
      <c r="J24" s="15"/>
      <c r="K24" s="15">
        <f>E24-I24</f>
        <v>5350</v>
      </c>
      <c r="L24" s="15">
        <v>0</v>
      </c>
      <c r="M24" s="20">
        <v>588.20000000000005</v>
      </c>
      <c r="N24" s="15">
        <f>M24-L24</f>
        <v>588.20000000000005</v>
      </c>
      <c r="O24" s="15">
        <v>0</v>
      </c>
      <c r="P24" s="20"/>
      <c r="Q24" s="15">
        <f>SUM(N24:P24)+G24</f>
        <v>588.20000000000005</v>
      </c>
      <c r="R24" s="291">
        <f>K24-Q24</f>
        <v>4761.8</v>
      </c>
      <c r="S24" s="263">
        <f>+'[1]IMSS INCREMENTO 4%'!$AR$12/2</f>
        <v>340.00536160730593</v>
      </c>
      <c r="T24" s="263"/>
      <c r="U24" s="263"/>
      <c r="V24" s="35">
        <f t="shared" ref="V24" si="10">SUM(S24:U24)</f>
        <v>340.00536160730593</v>
      </c>
    </row>
    <row r="25" spans="2:22" ht="18.75" x14ac:dyDescent="0.3">
      <c r="B25" t="s">
        <v>120</v>
      </c>
      <c r="C25" s="133" t="s">
        <v>93</v>
      </c>
      <c r="D25" t="s">
        <v>238</v>
      </c>
      <c r="E25" s="15">
        <v>5564</v>
      </c>
      <c r="F25" s="29">
        <v>15</v>
      </c>
      <c r="G25" s="287">
        <v>1115</v>
      </c>
      <c r="H25" s="15"/>
      <c r="I25" s="71"/>
      <c r="J25" s="15"/>
      <c r="K25" s="15">
        <f>E25-I25</f>
        <v>5564</v>
      </c>
      <c r="L25" s="15">
        <v>0</v>
      </c>
      <c r="M25" s="15">
        <v>633.91</v>
      </c>
      <c r="N25" s="15">
        <f>M25-L25</f>
        <v>633.91</v>
      </c>
      <c r="O25" s="15">
        <v>0</v>
      </c>
      <c r="P25" s="287">
        <f>E25*0.115</f>
        <v>639.86</v>
      </c>
      <c r="Q25" s="15">
        <f>SUM(N25:P25)+G25</f>
        <v>2388.77</v>
      </c>
      <c r="R25" s="291">
        <f>K25-Q25</f>
        <v>3175.23</v>
      </c>
      <c r="S25" s="263">
        <f>+'[1]IMSS INCREMENTO 4%'!$AR$14/2</f>
        <v>346.01175335159814</v>
      </c>
      <c r="T25" s="263">
        <f>+E25*17.5%+166.92</f>
        <v>1140.6199999999999</v>
      </c>
      <c r="U25" s="288">
        <f t="shared" ref="U25:U26" si="11">+E25*2%</f>
        <v>111.28</v>
      </c>
      <c r="V25" s="35">
        <f>SUM(S25:U25)</f>
        <v>1597.911753351598</v>
      </c>
    </row>
    <row r="26" spans="2:22" ht="18.75" x14ac:dyDescent="0.3">
      <c r="B26" t="s">
        <v>121</v>
      </c>
      <c r="C26" s="133" t="s">
        <v>114</v>
      </c>
      <c r="D26" t="s">
        <v>237</v>
      </c>
      <c r="E26" s="15">
        <v>5564</v>
      </c>
      <c r="F26" s="29">
        <v>15</v>
      </c>
      <c r="G26" s="287">
        <v>1189</v>
      </c>
      <c r="H26" s="15"/>
      <c r="I26" s="77"/>
      <c r="J26" s="15"/>
      <c r="K26" s="15">
        <f>E26-I26</f>
        <v>5564</v>
      </c>
      <c r="L26" s="15">
        <v>0</v>
      </c>
      <c r="M26" s="15">
        <v>633.91</v>
      </c>
      <c r="N26" s="15">
        <f>M26-L26</f>
        <v>633.91</v>
      </c>
      <c r="O26" s="15">
        <v>0</v>
      </c>
      <c r="P26" s="287">
        <f>E26*0.115</f>
        <v>639.86</v>
      </c>
      <c r="Q26" s="15">
        <f>SUM(N26:P26)+G26</f>
        <v>2462.77</v>
      </c>
      <c r="R26" s="291">
        <f>K26-Q26</f>
        <v>3101.23</v>
      </c>
      <c r="S26" s="263">
        <f>+'[1]IMSS INCREMENTO 4%'!$AR$15/2</f>
        <v>346.01175335159814</v>
      </c>
      <c r="T26" s="263">
        <f>+E26*17.5%+166.92</f>
        <v>1140.6199999999999</v>
      </c>
      <c r="U26" s="288">
        <f t="shared" si="11"/>
        <v>111.28</v>
      </c>
      <c r="V26" s="35">
        <f>SUM(S26:U26)</f>
        <v>1597.911753351598</v>
      </c>
    </row>
    <row r="27" spans="2:22" ht="18.75" x14ac:dyDescent="0.3">
      <c r="B27" s="2" t="s">
        <v>26</v>
      </c>
      <c r="C27" s="270"/>
      <c r="D27" s="30"/>
      <c r="E27" s="34">
        <f>SUM(E23:E26)</f>
        <v>21828</v>
      </c>
      <c r="F27" s="34"/>
      <c r="G27" s="34">
        <f>+G26+G25+G23+G24</f>
        <v>2304</v>
      </c>
      <c r="H27" s="34"/>
      <c r="I27" s="34">
        <f t="shared" ref="I27:N27" si="12">SUM(I23:I26)</f>
        <v>0</v>
      </c>
      <c r="J27" s="34">
        <f t="shared" si="12"/>
        <v>0</v>
      </c>
      <c r="K27" s="34">
        <f t="shared" si="12"/>
        <v>21828</v>
      </c>
      <c r="L27" s="34">
        <f t="shared" si="12"/>
        <v>0</v>
      </c>
      <c r="M27" s="34">
        <f t="shared" si="12"/>
        <v>2444.2199999999998</v>
      </c>
      <c r="N27" s="34">
        <f t="shared" si="12"/>
        <v>2444.2199999999998</v>
      </c>
      <c r="O27" s="34">
        <f t="shared" ref="O27" si="13">SUM(O23:O26)</f>
        <v>0</v>
      </c>
      <c r="P27" s="34">
        <f t="shared" ref="P27:V27" si="14">SUM(P23:P26)</f>
        <v>1279.72</v>
      </c>
      <c r="Q27" s="34">
        <f t="shared" si="14"/>
        <v>6027.9400000000005</v>
      </c>
      <c r="R27" s="264">
        <f t="shared" si="14"/>
        <v>15800.06</v>
      </c>
      <c r="S27" s="34">
        <f t="shared" si="14"/>
        <v>1372.0342299178083</v>
      </c>
      <c r="T27" s="34">
        <f t="shared" si="14"/>
        <v>2281.2399999999998</v>
      </c>
      <c r="U27" s="34">
        <f t="shared" si="14"/>
        <v>222.56</v>
      </c>
      <c r="V27" s="34">
        <f t="shared" si="14"/>
        <v>3875.8342299178075</v>
      </c>
    </row>
    <row r="28" spans="2:22" ht="18.75" hidden="1" x14ac:dyDescent="0.3">
      <c r="C28" s="133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265"/>
    </row>
    <row r="29" spans="2:22" ht="18.75" x14ac:dyDescent="0.3">
      <c r="B29" s="2" t="s">
        <v>63</v>
      </c>
      <c r="C29" s="270" t="s">
        <v>51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265"/>
    </row>
    <row r="30" spans="2:22" ht="18.75" x14ac:dyDescent="0.3">
      <c r="B30" t="s">
        <v>122</v>
      </c>
      <c r="C30" s="133" t="s">
        <v>97</v>
      </c>
      <c r="D30" t="s">
        <v>80</v>
      </c>
      <c r="E30" s="15">
        <v>5564</v>
      </c>
      <c r="F30" s="29">
        <v>15</v>
      </c>
      <c r="G30" s="15"/>
      <c r="H30" s="15"/>
      <c r="I30" s="71"/>
      <c r="J30" s="15"/>
      <c r="K30" s="15">
        <f t="shared" ref="K30:K39" si="15">E30-I30</f>
        <v>5564</v>
      </c>
      <c r="L30" s="15">
        <v>0</v>
      </c>
      <c r="M30" s="15">
        <v>633.91</v>
      </c>
      <c r="N30" s="15">
        <f>M30-L30</f>
        <v>633.91</v>
      </c>
      <c r="O30" s="15">
        <v>0</v>
      </c>
      <c r="P30" s="287">
        <f>E30*0.115</f>
        <v>639.86</v>
      </c>
      <c r="Q30" s="15">
        <f>SUM(N30:P30)+G30</f>
        <v>1273.77</v>
      </c>
      <c r="R30" s="291">
        <f>K30-Q30</f>
        <v>4290.2299999999996</v>
      </c>
      <c r="S30" s="263">
        <f>+'[1]IMSS INCREMENTO 4%'!$AR$16/2</f>
        <v>346.01175335159814</v>
      </c>
      <c r="T30" s="263">
        <f>+E30*17.5%+166.92</f>
        <v>1140.6199999999999</v>
      </c>
      <c r="U30" s="288">
        <f t="shared" ref="U30:U40" si="16">+E30*2%</f>
        <v>111.28</v>
      </c>
      <c r="V30" s="35">
        <f>SUM(S30:U30)</f>
        <v>1597.911753351598</v>
      </c>
    </row>
    <row r="31" spans="2:22" ht="18.75" x14ac:dyDescent="0.3">
      <c r="B31" t="s">
        <v>123</v>
      </c>
      <c r="C31" s="133" t="s">
        <v>100</v>
      </c>
      <c r="D31" t="s">
        <v>80</v>
      </c>
      <c r="E31" s="15">
        <v>5564</v>
      </c>
      <c r="F31" s="29">
        <v>15</v>
      </c>
      <c r="G31" s="287">
        <v>904</v>
      </c>
      <c r="H31" s="15"/>
      <c r="I31" s="77"/>
      <c r="J31" s="20"/>
      <c r="K31" s="20">
        <f t="shared" si="15"/>
        <v>5564</v>
      </c>
      <c r="L31" s="20">
        <v>0</v>
      </c>
      <c r="M31" s="15">
        <v>633.91</v>
      </c>
      <c r="N31" s="293">
        <v>588.20000000000005</v>
      </c>
      <c r="O31" s="15">
        <v>0</v>
      </c>
      <c r="P31" s="287">
        <f t="shared" ref="P31:P40" si="17">E31*0.115</f>
        <v>639.86</v>
      </c>
      <c r="Q31" s="15">
        <f>SUM(N31:P31)+G31</f>
        <v>2132.06</v>
      </c>
      <c r="R31" s="291">
        <f>K31-Q31</f>
        <v>3431.94</v>
      </c>
      <c r="S31" s="263">
        <f>+'[1]IMSS INCREMENTO 4%'!$AR$17/2</f>
        <v>346.01175335159814</v>
      </c>
      <c r="T31" s="263">
        <f>+E31*17.5%+166.92</f>
        <v>1140.6199999999999</v>
      </c>
      <c r="U31" s="288">
        <f t="shared" si="16"/>
        <v>111.28</v>
      </c>
      <c r="V31" s="35">
        <f>SUM(S31:U31)</f>
        <v>1597.911753351598</v>
      </c>
    </row>
    <row r="32" spans="2:22" ht="18.75" x14ac:dyDescent="0.3">
      <c r="B32" t="s">
        <v>124</v>
      </c>
      <c r="C32" s="133" t="s">
        <v>96</v>
      </c>
      <c r="D32" t="s">
        <v>239</v>
      </c>
      <c r="E32" s="15">
        <v>6240</v>
      </c>
      <c r="F32" s="29">
        <v>15</v>
      </c>
      <c r="G32" s="15"/>
      <c r="H32" s="15"/>
      <c r="I32" s="15"/>
      <c r="J32" s="15"/>
      <c r="K32" s="15">
        <f t="shared" si="15"/>
        <v>6240</v>
      </c>
      <c r="L32" s="15">
        <v>0</v>
      </c>
      <c r="M32" s="15">
        <v>778.31</v>
      </c>
      <c r="N32" s="15">
        <f>M32-L32</f>
        <v>778.31</v>
      </c>
      <c r="O32" s="15">
        <v>0</v>
      </c>
      <c r="P32" s="287">
        <f>E32*0.115</f>
        <v>717.6</v>
      </c>
      <c r="Q32" s="15">
        <f>SUM(N32:P32)+G32</f>
        <v>1495.9099999999999</v>
      </c>
      <c r="R32" s="291">
        <f t="shared" ref="R32:R40" si="18">K32-Q32</f>
        <v>4744.09</v>
      </c>
      <c r="S32" s="263">
        <f>+'[1]IMSS INCREMENTO 4%'!$AR$18/2</f>
        <v>364.98521512328773</v>
      </c>
      <c r="T32" s="263">
        <f>+E32*17.5%+187.2</f>
        <v>1279.2</v>
      </c>
      <c r="U32" s="288">
        <f t="shared" si="16"/>
        <v>124.8</v>
      </c>
      <c r="V32" s="35">
        <f t="shared" ref="V32" si="19">SUM(S32:U32)</f>
        <v>1768.9852151232878</v>
      </c>
    </row>
    <row r="33" spans="2:22" ht="18.75" x14ac:dyDescent="0.3">
      <c r="B33" t="s">
        <v>125</v>
      </c>
      <c r="C33" s="133" t="s">
        <v>104</v>
      </c>
      <c r="D33" t="s">
        <v>222</v>
      </c>
      <c r="E33" s="15">
        <v>5564</v>
      </c>
      <c r="F33" s="29">
        <v>15</v>
      </c>
      <c r="G33" s="265"/>
      <c r="H33" s="15"/>
      <c r="I33" s="20"/>
      <c r="J33" s="20"/>
      <c r="K33" s="20">
        <f t="shared" si="15"/>
        <v>5564</v>
      </c>
      <c r="L33" s="20">
        <v>0</v>
      </c>
      <c r="M33" s="15">
        <v>633.91</v>
      </c>
      <c r="N33" s="20">
        <f t="shared" ref="N33:N40" si="20">M33-L33</f>
        <v>633.91</v>
      </c>
      <c r="O33" s="15">
        <v>0</v>
      </c>
      <c r="P33" s="287">
        <f t="shared" si="17"/>
        <v>639.86</v>
      </c>
      <c r="Q33" s="15">
        <f t="shared" ref="Q33" si="21">SUM(N33:P33)+G33</f>
        <v>1273.77</v>
      </c>
      <c r="R33" s="291">
        <f t="shared" si="18"/>
        <v>4290.2299999999996</v>
      </c>
      <c r="S33" s="263">
        <f>+'[1]IMSS INCREMENTO 4%'!$AR$19/2</f>
        <v>346.01175335159814</v>
      </c>
      <c r="T33" s="263">
        <f t="shared" ref="T33:T40" si="22">+E33*17.5%+166.92</f>
        <v>1140.6199999999999</v>
      </c>
      <c r="U33" s="288">
        <f t="shared" si="16"/>
        <v>111.28</v>
      </c>
      <c r="V33" s="35">
        <f t="shared" ref="V33:V40" si="23">SUM(S33:U33)</f>
        <v>1597.911753351598</v>
      </c>
    </row>
    <row r="34" spans="2:22" ht="18.75" x14ac:dyDescent="0.3">
      <c r="B34" t="s">
        <v>126</v>
      </c>
      <c r="C34" s="133" t="s">
        <v>94</v>
      </c>
      <c r="D34" t="s">
        <v>240</v>
      </c>
      <c r="E34" s="15">
        <v>5564</v>
      </c>
      <c r="F34" s="29">
        <v>15</v>
      </c>
      <c r="G34" s="287">
        <v>595</v>
      </c>
      <c r="H34" s="15"/>
      <c r="I34" s="77">
        <v>4.0999999999999996</v>
      </c>
      <c r="J34" s="20"/>
      <c r="K34" s="20">
        <f>E34-I34</f>
        <v>5559.9</v>
      </c>
      <c r="L34" s="20">
        <v>0</v>
      </c>
      <c r="M34" s="15">
        <v>633.91</v>
      </c>
      <c r="N34" s="292">
        <v>588.02</v>
      </c>
      <c r="O34" s="15">
        <v>0</v>
      </c>
      <c r="P34" s="287">
        <f t="shared" si="17"/>
        <v>639.86</v>
      </c>
      <c r="Q34" s="15">
        <f>SUM(N34:P34)+G34</f>
        <v>1822.88</v>
      </c>
      <c r="R34" s="291">
        <f>K34-Q34</f>
        <v>3737.0199999999995</v>
      </c>
      <c r="S34" s="263">
        <f>+'[1]IMSS INCREMENTO 4%'!$AR$20/2</f>
        <v>346.01175335159814</v>
      </c>
      <c r="T34" s="263">
        <f t="shared" si="22"/>
        <v>1140.6199999999999</v>
      </c>
      <c r="U34" s="288">
        <f t="shared" si="16"/>
        <v>111.28</v>
      </c>
      <c r="V34" s="35">
        <f t="shared" si="23"/>
        <v>1597.911753351598</v>
      </c>
    </row>
    <row r="35" spans="2:22" ht="18.75" x14ac:dyDescent="0.3">
      <c r="B35" t="s">
        <v>127</v>
      </c>
      <c r="C35" s="133" t="s">
        <v>98</v>
      </c>
      <c r="D35" t="s">
        <v>240</v>
      </c>
      <c r="E35" s="15">
        <v>5564</v>
      </c>
      <c r="F35" s="29">
        <v>15</v>
      </c>
      <c r="G35" s="15"/>
      <c r="H35" s="20"/>
      <c r="I35" s="15"/>
      <c r="J35" s="20"/>
      <c r="K35" s="20">
        <f>E35-I35</f>
        <v>5564</v>
      </c>
      <c r="L35" s="20">
        <v>0</v>
      </c>
      <c r="M35" s="15">
        <v>633.91</v>
      </c>
      <c r="N35" s="20">
        <f t="shared" si="20"/>
        <v>633.91</v>
      </c>
      <c r="O35" s="15">
        <v>0</v>
      </c>
      <c r="P35" s="287">
        <f>E35*0.115</f>
        <v>639.86</v>
      </c>
      <c r="Q35" s="15">
        <f>SUM(N35:P35)+G35</f>
        <v>1273.77</v>
      </c>
      <c r="R35" s="291">
        <f>K35-Q35</f>
        <v>4290.2299999999996</v>
      </c>
      <c r="S35" s="263">
        <f>+'[1]IMSS INCREMENTO 4%'!$AR$21/2</f>
        <v>346.01175335159814</v>
      </c>
      <c r="T35" s="263">
        <f t="shared" si="22"/>
        <v>1140.6199999999999</v>
      </c>
      <c r="U35" s="288">
        <f t="shared" si="16"/>
        <v>111.28</v>
      </c>
      <c r="V35" s="35">
        <f t="shared" si="23"/>
        <v>1597.911753351598</v>
      </c>
    </row>
    <row r="36" spans="2:22" ht="18.75" x14ac:dyDescent="0.3">
      <c r="B36" t="s">
        <v>128</v>
      </c>
      <c r="C36" s="133" t="s">
        <v>101</v>
      </c>
      <c r="D36" t="s">
        <v>240</v>
      </c>
      <c r="E36" s="15">
        <v>5564</v>
      </c>
      <c r="F36" s="29">
        <v>15</v>
      </c>
      <c r="G36" s="15"/>
      <c r="H36" s="15"/>
      <c r="I36" s="77">
        <v>7.64</v>
      </c>
      <c r="J36" s="20"/>
      <c r="K36" s="20">
        <f>E36-I36</f>
        <v>5556.36</v>
      </c>
      <c r="L36" s="20">
        <v>0</v>
      </c>
      <c r="M36" s="15">
        <v>633.91</v>
      </c>
      <c r="N36" s="15">
        <f>M36-L36</f>
        <v>633.91</v>
      </c>
      <c r="O36" s="15">
        <v>0</v>
      </c>
      <c r="P36" s="287">
        <f t="shared" si="17"/>
        <v>639.86</v>
      </c>
      <c r="Q36" s="15">
        <f>SUM(N36:P36)+G36</f>
        <v>1273.77</v>
      </c>
      <c r="R36" s="291">
        <f>K36-Q36</f>
        <v>4282.59</v>
      </c>
      <c r="S36" s="263">
        <f>+'[1]IMSS INCREMENTO 4%'!$AR$22/2</f>
        <v>346.01175335159814</v>
      </c>
      <c r="T36" s="263">
        <f t="shared" si="22"/>
        <v>1140.6199999999999</v>
      </c>
      <c r="U36" s="288">
        <f t="shared" si="16"/>
        <v>111.28</v>
      </c>
      <c r="V36" s="35">
        <f t="shared" si="23"/>
        <v>1597.911753351598</v>
      </c>
    </row>
    <row r="37" spans="2:22" ht="18.75" x14ac:dyDescent="0.3">
      <c r="B37" t="s">
        <v>129</v>
      </c>
      <c r="C37" s="133" t="s">
        <v>95</v>
      </c>
      <c r="D37" t="s">
        <v>241</v>
      </c>
      <c r="E37" s="15">
        <v>5564</v>
      </c>
      <c r="F37" s="29">
        <v>15</v>
      </c>
      <c r="G37" s="287">
        <v>1190</v>
      </c>
      <c r="H37" s="15"/>
      <c r="I37" s="77">
        <v>13.59</v>
      </c>
      <c r="J37" s="15"/>
      <c r="K37" s="15">
        <f t="shared" si="15"/>
        <v>5550.41</v>
      </c>
      <c r="L37" s="15">
        <v>0</v>
      </c>
      <c r="M37" s="15">
        <v>633.91</v>
      </c>
      <c r="N37" s="15">
        <f t="shared" si="20"/>
        <v>633.91</v>
      </c>
      <c r="O37" s="15">
        <v>0</v>
      </c>
      <c r="P37" s="287">
        <f t="shared" si="17"/>
        <v>639.86</v>
      </c>
      <c r="Q37" s="15">
        <f t="shared" ref="Q37:Q40" si="24">SUM(N37:P37)+G37</f>
        <v>2463.77</v>
      </c>
      <c r="R37" s="291">
        <f t="shared" si="18"/>
        <v>3086.64</v>
      </c>
      <c r="S37" s="263">
        <f>+'[1]IMSS INCREMENTO 4%'!$AR$23/2</f>
        <v>346.01175335159814</v>
      </c>
      <c r="T37" s="263">
        <f t="shared" si="22"/>
        <v>1140.6199999999999</v>
      </c>
      <c r="U37" s="288">
        <f t="shared" si="16"/>
        <v>111.28</v>
      </c>
      <c r="V37" s="35">
        <f t="shared" si="23"/>
        <v>1597.911753351598</v>
      </c>
    </row>
    <row r="38" spans="2:22" ht="18.75" x14ac:dyDescent="0.3">
      <c r="B38" t="s">
        <v>130</v>
      </c>
      <c r="C38" s="133" t="s">
        <v>102</v>
      </c>
      <c r="D38" t="s">
        <v>241</v>
      </c>
      <c r="E38" s="15">
        <v>5564</v>
      </c>
      <c r="F38" s="29">
        <v>15</v>
      </c>
      <c r="G38" s="20"/>
      <c r="H38" s="15"/>
      <c r="I38" s="77"/>
      <c r="J38" s="15"/>
      <c r="K38" s="15">
        <f>E38-I38</f>
        <v>5564</v>
      </c>
      <c r="L38" s="15">
        <v>0</v>
      </c>
      <c r="M38" s="15">
        <v>633.91</v>
      </c>
      <c r="N38" s="292">
        <v>588.20000000000005</v>
      </c>
      <c r="O38" s="15">
        <v>0</v>
      </c>
      <c r="P38" s="287">
        <f t="shared" si="17"/>
        <v>639.86</v>
      </c>
      <c r="Q38" s="15">
        <f>SUM(N38:P38)+G38</f>
        <v>1228.06</v>
      </c>
      <c r="R38" s="291">
        <f t="shared" si="18"/>
        <v>4335.9400000000005</v>
      </c>
      <c r="S38" s="263">
        <f>+'[1]IMSS INCREMENTO 4%'!$AR$24/2</f>
        <v>346.01175335159814</v>
      </c>
      <c r="T38" s="263">
        <f t="shared" si="22"/>
        <v>1140.6199999999999</v>
      </c>
      <c r="U38" s="288">
        <f t="shared" si="16"/>
        <v>111.28</v>
      </c>
      <c r="V38" s="35">
        <f t="shared" si="23"/>
        <v>1597.911753351598</v>
      </c>
    </row>
    <row r="39" spans="2:22" ht="18.75" x14ac:dyDescent="0.3">
      <c r="B39" t="s">
        <v>131</v>
      </c>
      <c r="C39" s="133" t="s">
        <v>85</v>
      </c>
      <c r="D39" t="s">
        <v>242</v>
      </c>
      <c r="E39" s="15">
        <v>5564</v>
      </c>
      <c r="F39" s="29">
        <v>15</v>
      </c>
      <c r="G39" s="287">
        <v>1784</v>
      </c>
      <c r="H39" s="15"/>
      <c r="I39" s="77"/>
      <c r="J39" s="15"/>
      <c r="K39" s="15">
        <f t="shared" si="15"/>
        <v>5564</v>
      </c>
      <c r="L39" s="15">
        <v>0</v>
      </c>
      <c r="M39" s="15">
        <v>633.91</v>
      </c>
      <c r="N39" s="15">
        <f t="shared" si="20"/>
        <v>633.91</v>
      </c>
      <c r="O39" s="15">
        <v>0</v>
      </c>
      <c r="P39" s="287">
        <f t="shared" si="17"/>
        <v>639.86</v>
      </c>
      <c r="Q39" s="15">
        <f t="shared" si="24"/>
        <v>3057.77</v>
      </c>
      <c r="R39" s="291">
        <f t="shared" si="18"/>
        <v>2506.23</v>
      </c>
      <c r="S39" s="263">
        <f>+'[1]IMSS INCREMENTO 4%'!$AR$25/2</f>
        <v>346.01175335159814</v>
      </c>
      <c r="T39" s="263">
        <f t="shared" si="22"/>
        <v>1140.6199999999999</v>
      </c>
      <c r="U39" s="288">
        <f t="shared" si="16"/>
        <v>111.28</v>
      </c>
      <c r="V39" s="35">
        <f t="shared" si="23"/>
        <v>1597.911753351598</v>
      </c>
    </row>
    <row r="40" spans="2:22" ht="18.75" x14ac:dyDescent="0.3">
      <c r="B40" t="s">
        <v>132</v>
      </c>
      <c r="C40" s="133" t="s">
        <v>103</v>
      </c>
      <c r="D40" t="s">
        <v>242</v>
      </c>
      <c r="E40" s="15">
        <v>5564</v>
      </c>
      <c r="F40" s="29">
        <v>15</v>
      </c>
      <c r="G40" s="20"/>
      <c r="H40" s="15"/>
      <c r="I40" s="77"/>
      <c r="J40" s="15"/>
      <c r="K40" s="15">
        <f>E40-I40</f>
        <v>5564</v>
      </c>
      <c r="L40" s="15">
        <v>0</v>
      </c>
      <c r="M40" s="15">
        <v>633.91</v>
      </c>
      <c r="N40" s="15">
        <f t="shared" si="20"/>
        <v>633.91</v>
      </c>
      <c r="O40" s="15">
        <v>0</v>
      </c>
      <c r="P40" s="287">
        <f t="shared" si="17"/>
        <v>639.86</v>
      </c>
      <c r="Q40" s="15">
        <f t="shared" si="24"/>
        <v>1273.77</v>
      </c>
      <c r="R40" s="291">
        <f t="shared" si="18"/>
        <v>4290.2299999999996</v>
      </c>
      <c r="S40" s="263">
        <f>+'[1]IMSS INCREMENTO 4%'!$AR$26/2</f>
        <v>346.01175335159814</v>
      </c>
      <c r="T40" s="263">
        <f t="shared" si="22"/>
        <v>1140.6199999999999</v>
      </c>
      <c r="U40" s="288">
        <f t="shared" si="16"/>
        <v>111.28</v>
      </c>
      <c r="V40" s="35">
        <f t="shared" si="23"/>
        <v>1597.911753351598</v>
      </c>
    </row>
    <row r="41" spans="2:22" ht="18.75" x14ac:dyDescent="0.3">
      <c r="B41" s="2" t="s">
        <v>26</v>
      </c>
      <c r="C41" s="270"/>
      <c r="D41" s="30"/>
      <c r="E41" s="34">
        <f>SUM(E30:E40)</f>
        <v>61880</v>
      </c>
      <c r="F41" s="34"/>
      <c r="G41" s="34">
        <f>+G40+G39+G38+G37+G36+G35+G34+G31</f>
        <v>4473</v>
      </c>
      <c r="H41" s="34"/>
      <c r="I41" s="34">
        <f>SUM(I30:I40)</f>
        <v>25.33</v>
      </c>
      <c r="J41" s="34">
        <f>SUM(J30:J40)</f>
        <v>0</v>
      </c>
      <c r="K41" s="34">
        <f>SUM(K30:K40)</f>
        <v>61854.67</v>
      </c>
      <c r="L41" s="34">
        <f t="shared" ref="L41:Q41" si="25">SUM(L30:L40)</f>
        <v>0</v>
      </c>
      <c r="M41" s="34">
        <f t="shared" si="25"/>
        <v>7117.4099999999989</v>
      </c>
      <c r="N41" s="34">
        <f t="shared" si="25"/>
        <v>6980.0999999999995</v>
      </c>
      <c r="O41" s="34">
        <f t="shared" si="25"/>
        <v>0</v>
      </c>
      <c r="P41" s="34">
        <f>SUM(P30:P40)</f>
        <v>7116.1999999999989</v>
      </c>
      <c r="Q41" s="34">
        <f t="shared" si="25"/>
        <v>18569.3</v>
      </c>
      <c r="R41" s="264">
        <f>SUM(R30:R40)</f>
        <v>43285.369999999995</v>
      </c>
      <c r="S41" s="34">
        <f>SUM(S30:S40)</f>
        <v>3825.1027486392691</v>
      </c>
      <c r="T41" s="34">
        <f>SUM(T30:T40)</f>
        <v>12685.399999999998</v>
      </c>
      <c r="U41" s="34">
        <f>SUM(U30:U40)</f>
        <v>1237.5999999999999</v>
      </c>
      <c r="V41" s="34">
        <f>SUM(V30:V40)</f>
        <v>17748.102748639267</v>
      </c>
    </row>
    <row r="42" spans="2:22" ht="18.75" hidden="1" x14ac:dyDescent="0.3">
      <c r="C42" s="133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265"/>
    </row>
    <row r="43" spans="2:22" ht="18.75" x14ac:dyDescent="0.3">
      <c r="B43" s="2" t="s">
        <v>140</v>
      </c>
      <c r="C43" s="270" t="s">
        <v>64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265"/>
    </row>
    <row r="44" spans="2:22" ht="18.75" x14ac:dyDescent="0.3">
      <c r="B44" t="s">
        <v>133</v>
      </c>
      <c r="C44" s="133" t="s">
        <v>225</v>
      </c>
      <c r="D44" t="s">
        <v>243</v>
      </c>
      <c r="E44" s="15">
        <v>5350</v>
      </c>
      <c r="F44" s="29">
        <v>15</v>
      </c>
      <c r="G44" s="15"/>
      <c r="H44" s="15"/>
      <c r="I44" s="15"/>
      <c r="J44" s="20"/>
      <c r="K44" s="20">
        <f t="shared" ref="K44" si="26">E44-I44</f>
        <v>5350</v>
      </c>
      <c r="L44" s="20">
        <v>0</v>
      </c>
      <c r="M44" s="20">
        <v>588.20000000000005</v>
      </c>
      <c r="N44" s="20">
        <f t="shared" ref="N44" si="27">M44-L44</f>
        <v>588.20000000000005</v>
      </c>
      <c r="O44" s="15">
        <v>0</v>
      </c>
      <c r="P44" s="20"/>
      <c r="Q44" s="15">
        <f t="shared" ref="Q44" si="28">SUM(N44:P44)+G44</f>
        <v>588.20000000000005</v>
      </c>
      <c r="R44" s="291">
        <f t="shared" ref="R44" si="29">K44-Q44</f>
        <v>4761.8</v>
      </c>
      <c r="S44" s="263">
        <f>+'[1]IMSS INCREMENTO 4%'!$AR$27/2</f>
        <v>340.00536160730593</v>
      </c>
      <c r="T44" s="263"/>
      <c r="U44" s="263"/>
      <c r="V44" s="35">
        <f t="shared" ref="V44" si="30">SUM(S44:U44)</f>
        <v>340.00536160730593</v>
      </c>
    </row>
    <row r="45" spans="2:22" ht="18.75" x14ac:dyDescent="0.3">
      <c r="B45" t="s">
        <v>152</v>
      </c>
      <c r="C45" s="133" t="s">
        <v>92</v>
      </c>
      <c r="D45" t="s">
        <v>244</v>
      </c>
      <c r="E45" s="15">
        <v>5564</v>
      </c>
      <c r="F45" s="29">
        <v>15</v>
      </c>
      <c r="G45" s="15"/>
      <c r="H45" s="15"/>
      <c r="I45" s="77">
        <v>6.79</v>
      </c>
      <c r="J45" s="15"/>
      <c r="K45" s="15">
        <f>E45-I45</f>
        <v>5557.21</v>
      </c>
      <c r="L45" s="15">
        <v>0</v>
      </c>
      <c r="M45" s="15">
        <v>633.91</v>
      </c>
      <c r="N45" s="292">
        <v>588.20000000000005</v>
      </c>
      <c r="O45" s="15">
        <v>0</v>
      </c>
      <c r="P45" s="287">
        <f t="shared" ref="P45" si="31">E45*0.115</f>
        <v>639.86</v>
      </c>
      <c r="Q45" s="15">
        <f>SUM(N45:P45)+G45</f>
        <v>1228.06</v>
      </c>
      <c r="R45" s="291">
        <f>K45-Q45</f>
        <v>4329.1499999999996</v>
      </c>
      <c r="S45" s="263">
        <f>+'[1]IMSS INCREMENTO 4%'!$AR$28/2</f>
        <v>346.01175335159814</v>
      </c>
      <c r="T45" s="263">
        <f>+E45*17.5%+166.92</f>
        <v>1140.6199999999999</v>
      </c>
      <c r="U45" s="288">
        <f t="shared" ref="U45" si="32">+E45*2%</f>
        <v>111.28</v>
      </c>
      <c r="V45" s="35">
        <f t="shared" ref="V45" si="33">SUM(S45:U45)</f>
        <v>1597.911753351598</v>
      </c>
    </row>
    <row r="46" spans="2:22" ht="18.75" x14ac:dyDescent="0.3">
      <c r="B46" t="s">
        <v>220</v>
      </c>
      <c r="C46" s="133" t="s">
        <v>221</v>
      </c>
      <c r="D46" t="s">
        <v>222</v>
      </c>
      <c r="E46" s="15">
        <v>5350</v>
      </c>
      <c r="F46" s="29">
        <v>15</v>
      </c>
      <c r="G46" s="15"/>
      <c r="H46" s="15"/>
      <c r="I46" s="15"/>
      <c r="J46" s="15"/>
      <c r="K46" s="15">
        <f>E46-I46</f>
        <v>5350</v>
      </c>
      <c r="L46" s="15">
        <v>0</v>
      </c>
      <c r="M46" s="15">
        <v>588.20000000000005</v>
      </c>
      <c r="N46" s="15">
        <v>588.20000000000005</v>
      </c>
      <c r="O46" s="15">
        <v>0</v>
      </c>
      <c r="P46" s="15"/>
      <c r="Q46" s="15">
        <f>SUM(N46:P46)+G46</f>
        <v>588.20000000000005</v>
      </c>
      <c r="R46" s="291">
        <f>K46-Q46</f>
        <v>4761.8</v>
      </c>
      <c r="S46" s="263">
        <f>+'[1]IMSS INCREMENTO 4%'!$AR$29/2</f>
        <v>340.00536160730593</v>
      </c>
      <c r="T46" s="263"/>
      <c r="U46" s="263"/>
      <c r="V46" s="35">
        <f t="shared" ref="V46" si="34">SUM(S46:U46)</f>
        <v>340.00536160730593</v>
      </c>
    </row>
    <row r="47" spans="2:22" ht="18.75" x14ac:dyDescent="0.3">
      <c r="B47" s="2" t="s">
        <v>26</v>
      </c>
      <c r="C47" s="270"/>
      <c r="D47" s="30"/>
      <c r="E47" s="34">
        <f>E44+E45+E46</f>
        <v>16264</v>
      </c>
      <c r="F47" s="34"/>
      <c r="G47" s="34">
        <f t="shared" ref="G47:V47" si="35">G44+G45+G46</f>
        <v>0</v>
      </c>
      <c r="H47" s="34">
        <f t="shared" si="35"/>
        <v>0</v>
      </c>
      <c r="I47" s="34">
        <f>I44+I45+I46</f>
        <v>6.79</v>
      </c>
      <c r="J47" s="34">
        <f t="shared" si="35"/>
        <v>0</v>
      </c>
      <c r="K47" s="34">
        <f t="shared" si="35"/>
        <v>16257.21</v>
      </c>
      <c r="L47" s="34">
        <f t="shared" si="35"/>
        <v>0</v>
      </c>
      <c r="M47" s="34">
        <f t="shared" si="35"/>
        <v>1810.3100000000002</v>
      </c>
      <c r="N47" s="34">
        <f t="shared" si="35"/>
        <v>1764.6000000000001</v>
      </c>
      <c r="O47" s="34">
        <f t="shared" si="35"/>
        <v>0</v>
      </c>
      <c r="P47" s="34">
        <f t="shared" si="35"/>
        <v>639.86</v>
      </c>
      <c r="Q47" s="34">
        <f t="shared" si="35"/>
        <v>2404.46</v>
      </c>
      <c r="R47" s="264">
        <f>R44+R45+R46</f>
        <v>13852.75</v>
      </c>
      <c r="S47" s="34">
        <f t="shared" si="35"/>
        <v>1026.0224765662101</v>
      </c>
      <c r="T47" s="34">
        <f t="shared" si="35"/>
        <v>1140.6199999999999</v>
      </c>
      <c r="U47" s="34">
        <f t="shared" si="35"/>
        <v>111.28</v>
      </c>
      <c r="V47" s="34">
        <f t="shared" si="35"/>
        <v>2277.9224765662098</v>
      </c>
    </row>
    <row r="48" spans="2:22" ht="18.75" hidden="1" x14ac:dyDescent="0.3">
      <c r="B48" s="2"/>
      <c r="C48" s="133"/>
      <c r="E48" s="15"/>
      <c r="F48" s="15"/>
      <c r="G48" s="15"/>
      <c r="H48" s="15"/>
      <c r="I48" s="15"/>
      <c r="J48" s="15"/>
      <c r="K48" s="16"/>
      <c r="L48" s="16"/>
      <c r="M48" s="16"/>
      <c r="N48" s="16"/>
      <c r="O48" s="16"/>
      <c r="P48" s="16"/>
      <c r="Q48" s="16"/>
      <c r="R48" s="267"/>
      <c r="S48" s="8"/>
      <c r="T48" s="8"/>
      <c r="U48" s="8"/>
      <c r="V48" s="8"/>
    </row>
    <row r="49" spans="2:22" ht="18.75" x14ac:dyDescent="0.3">
      <c r="B49" s="2" t="s">
        <v>161</v>
      </c>
      <c r="C49" s="270" t="s">
        <v>162</v>
      </c>
      <c r="E49" s="15"/>
      <c r="F49" s="15"/>
      <c r="G49" s="15"/>
      <c r="H49" s="15"/>
      <c r="I49" s="15"/>
      <c r="J49" s="15"/>
      <c r="K49" s="16"/>
      <c r="L49" s="16"/>
      <c r="M49" s="16"/>
      <c r="N49" s="16"/>
      <c r="O49" s="16"/>
      <c r="P49" s="16"/>
      <c r="Q49" s="16"/>
      <c r="R49" s="267"/>
      <c r="S49" s="8"/>
      <c r="T49" s="8"/>
      <c r="U49" s="8"/>
      <c r="V49" s="8"/>
    </row>
    <row r="50" spans="2:22" ht="18.75" x14ac:dyDescent="0.3">
      <c r="B50" t="s">
        <v>163</v>
      </c>
      <c r="C50" s="269" t="s">
        <v>42</v>
      </c>
      <c r="D50" t="s">
        <v>230</v>
      </c>
      <c r="E50" s="15">
        <v>10400</v>
      </c>
      <c r="F50" s="29">
        <v>15</v>
      </c>
      <c r="G50" s="15"/>
      <c r="H50" s="15"/>
      <c r="I50" s="15"/>
      <c r="J50" s="15"/>
      <c r="K50" s="15">
        <f>E50-I50</f>
        <v>10400</v>
      </c>
      <c r="L50" s="15">
        <v>0</v>
      </c>
      <c r="M50" s="15">
        <v>1667.21</v>
      </c>
      <c r="N50" s="15">
        <f>M50-L50</f>
        <v>1667.21</v>
      </c>
      <c r="O50" s="15">
        <v>0</v>
      </c>
      <c r="P50" s="287">
        <f>E50*0.115</f>
        <v>1196</v>
      </c>
      <c r="Q50" s="15">
        <f>SUM(N50:P50)+G50</f>
        <v>2863.21</v>
      </c>
      <c r="R50" s="291">
        <f>K50-Q50</f>
        <v>7536.79</v>
      </c>
      <c r="S50" s="263">
        <f>+'[1]IMSS INCREMENTO 4%'!$AR$30/2</f>
        <v>481.74497987214613</v>
      </c>
      <c r="T50" s="263">
        <f>+E50*17.5%+312</f>
        <v>2132</v>
      </c>
      <c r="U50" s="288">
        <f t="shared" ref="U50" si="36">+E50*2%</f>
        <v>208</v>
      </c>
      <c r="V50" s="35">
        <f t="shared" ref="V50" si="37">SUM(S50:U50)</f>
        <v>2821.7449798721464</v>
      </c>
    </row>
    <row r="51" spans="2:22" ht="18.75" x14ac:dyDescent="0.3">
      <c r="B51" s="2" t="s">
        <v>26</v>
      </c>
      <c r="E51" s="34">
        <f>E50</f>
        <v>10400</v>
      </c>
      <c r="F51" s="34"/>
      <c r="G51" s="34">
        <f>+G50</f>
        <v>0</v>
      </c>
      <c r="H51" s="34"/>
      <c r="I51" s="34">
        <f>I50</f>
        <v>0</v>
      </c>
      <c r="J51" s="34">
        <f>J50</f>
        <v>0</v>
      </c>
      <c r="K51" s="34">
        <f>K50</f>
        <v>10400</v>
      </c>
      <c r="L51" s="34">
        <f t="shared" ref="L51:V51" si="38">L50</f>
        <v>0</v>
      </c>
      <c r="M51" s="34">
        <f t="shared" si="38"/>
        <v>1667.21</v>
      </c>
      <c r="N51" s="34">
        <f t="shared" si="38"/>
        <v>1667.21</v>
      </c>
      <c r="O51" s="34">
        <f t="shared" si="38"/>
        <v>0</v>
      </c>
      <c r="P51" s="34">
        <f>P50</f>
        <v>1196</v>
      </c>
      <c r="Q51" s="34">
        <f t="shared" si="38"/>
        <v>2863.21</v>
      </c>
      <c r="R51" s="264">
        <f>R50</f>
        <v>7536.79</v>
      </c>
      <c r="S51" s="34">
        <f t="shared" si="38"/>
        <v>481.74497987214613</v>
      </c>
      <c r="T51" s="34">
        <f t="shared" si="38"/>
        <v>2132</v>
      </c>
      <c r="U51" s="34">
        <f t="shared" si="38"/>
        <v>208</v>
      </c>
      <c r="V51" s="34">
        <f t="shared" si="38"/>
        <v>2821.7449798721464</v>
      </c>
    </row>
    <row r="52" spans="2:22" ht="12" customHeight="1" x14ac:dyDescent="0.3">
      <c r="B52" s="2"/>
      <c r="E52" s="15"/>
      <c r="F52" s="15"/>
      <c r="G52" s="15"/>
      <c r="H52" s="15"/>
      <c r="I52" s="15"/>
      <c r="J52" s="15"/>
      <c r="K52" s="16"/>
      <c r="L52" s="16"/>
      <c r="M52" s="16"/>
      <c r="N52" s="16"/>
      <c r="O52" s="16"/>
      <c r="P52" s="16"/>
      <c r="Q52" s="16"/>
      <c r="R52" s="267"/>
      <c r="S52" s="8"/>
      <c r="T52" s="8"/>
      <c r="U52" s="8"/>
      <c r="V52" s="8"/>
    </row>
    <row r="53" spans="2:22" ht="18.75" hidden="1" x14ac:dyDescent="0.3">
      <c r="R53" s="268"/>
    </row>
    <row r="54" spans="2:22" ht="18.75" x14ac:dyDescent="0.3">
      <c r="C54" s="53" t="s">
        <v>105</v>
      </c>
      <c r="E54" s="17">
        <f>E9+E20+E27+E41+E47+E51</f>
        <v>176261.15</v>
      </c>
      <c r="F54" s="17"/>
      <c r="G54" s="17">
        <f>G9+G20+G27+G41+G47+G51</f>
        <v>16542</v>
      </c>
      <c r="H54" s="17"/>
      <c r="I54" s="17">
        <f t="shared" ref="I54:V54" si="39">I9+I20+I27+I41+I47+I51</f>
        <v>32.119999999999997</v>
      </c>
      <c r="J54" s="17">
        <f t="shared" si="39"/>
        <v>0</v>
      </c>
      <c r="K54" s="17">
        <f t="shared" si="39"/>
        <v>176229.03</v>
      </c>
      <c r="L54" s="17">
        <f t="shared" si="39"/>
        <v>274.08999999999997</v>
      </c>
      <c r="M54" s="17">
        <f t="shared" si="39"/>
        <v>22102.894999999997</v>
      </c>
      <c r="N54" s="17">
        <f t="shared" si="39"/>
        <v>21645.784999999996</v>
      </c>
      <c r="O54" s="17">
        <f t="shared" si="39"/>
        <v>0</v>
      </c>
      <c r="P54" s="17">
        <f t="shared" si="39"/>
        <v>17809.022249999998</v>
      </c>
      <c r="Q54" s="17">
        <f t="shared" si="39"/>
        <v>55996.807249999998</v>
      </c>
      <c r="R54" s="54">
        <f>R9+R20+R27+R41+R47+R51</f>
        <v>120232.22274999999</v>
      </c>
      <c r="S54" s="17">
        <f t="shared" si="39"/>
        <v>10452.687379414356</v>
      </c>
      <c r="T54" s="17">
        <f t="shared" si="39"/>
        <v>31746.531249999996</v>
      </c>
      <c r="U54" s="17">
        <f t="shared" si="39"/>
        <v>3097.223</v>
      </c>
      <c r="V54" s="55">
        <f t="shared" si="39"/>
        <v>45296.441629414359</v>
      </c>
    </row>
    <row r="63" spans="2:22" ht="16.5" thickBot="1" x14ac:dyDescent="0.3">
      <c r="E63" s="375"/>
      <c r="F63" s="375"/>
      <c r="G63" s="282"/>
      <c r="H63" s="282"/>
      <c r="P63" s="376"/>
      <c r="Q63" s="376"/>
    </row>
    <row r="64" spans="2:22" ht="15" x14ac:dyDescent="0.25">
      <c r="E64" s="377" t="s">
        <v>177</v>
      </c>
      <c r="F64" s="377"/>
      <c r="G64" s="283"/>
      <c r="H64" s="283"/>
      <c r="P64" s="26"/>
      <c r="Q64" s="26"/>
      <c r="R64" s="378" t="s">
        <v>157</v>
      </c>
      <c r="S64" s="378"/>
      <c r="T64" s="282"/>
    </row>
    <row r="68" spans="3:3" x14ac:dyDescent="0.25">
      <c r="C68" t="s">
        <v>174</v>
      </c>
    </row>
  </sheetData>
  <mergeCells count="5">
    <mergeCell ref="B4:V4"/>
    <mergeCell ref="E63:F63"/>
    <mergeCell ref="P63:Q63"/>
    <mergeCell ref="E64:F64"/>
    <mergeCell ref="R64:S64"/>
  </mergeCells>
  <pageMargins left="0.51181102362204722" right="0.51181102362204722" top="0.15748031496062992" bottom="0.35433070866141736" header="0.31496062992125984" footer="0.31496062992125984"/>
  <pageSetup scale="38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R56"/>
  <sheetViews>
    <sheetView workbookViewId="0">
      <pane xSplit="4" ySplit="3" topLeftCell="E40" activePane="bottomRight" state="frozen"/>
      <selection activeCell="F58" sqref="F58"/>
      <selection pane="topRight" activeCell="F58" sqref="F58"/>
      <selection pane="bottomLeft" activeCell="F58" sqref="F58"/>
      <selection pane="bottomRight" activeCell="E53" sqref="E53"/>
    </sheetView>
  </sheetViews>
  <sheetFormatPr baseColWidth="10" defaultRowHeight="15" x14ac:dyDescent="0.25"/>
  <cols>
    <col min="1" max="1" width="11.42578125" customWidth="1"/>
    <col min="3" max="3" width="33.42578125" customWidth="1"/>
    <col min="4" max="4" width="27" customWidth="1"/>
    <col min="5" max="5" width="18.7109375" style="15" customWidth="1"/>
    <col min="6" max="6" width="14.42578125" style="15" customWidth="1"/>
    <col min="7" max="7" width="17.28515625" style="15" customWidth="1"/>
    <col min="8" max="8" width="11.42578125" style="15" customWidth="1"/>
    <col min="9" max="9" width="12.85546875" style="15" customWidth="1"/>
    <col min="10" max="11" width="11.42578125" style="15" customWidth="1"/>
    <col min="12" max="12" width="16" style="15" customWidth="1"/>
    <col min="13" max="13" width="17.42578125" style="15" customWidth="1"/>
    <col min="14" max="14" width="20.140625" style="15" customWidth="1"/>
    <col min="15" max="15" width="16" customWidth="1"/>
    <col min="16" max="16" width="15.5703125" customWidth="1"/>
    <col min="17" max="17" width="19.28515625" customWidth="1"/>
    <col min="18" max="18" width="11.42578125" customWidth="1"/>
  </cols>
  <sheetData>
    <row r="1" spans="1:18" ht="18.75" x14ac:dyDescent="0.25">
      <c r="C1" s="6" t="s">
        <v>112</v>
      </c>
      <c r="D1" s="11"/>
    </row>
    <row r="2" spans="1:18" ht="15.75" thickBot="1" x14ac:dyDescent="0.3">
      <c r="E2" s="367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9"/>
    </row>
    <row r="3" spans="1:18" ht="35.25" thickTop="1" thickBot="1" x14ac:dyDescent="0.3">
      <c r="B3" s="47" t="s">
        <v>9</v>
      </c>
      <c r="C3" s="48" t="s">
        <v>10</v>
      </c>
      <c r="D3" s="48" t="s">
        <v>0</v>
      </c>
      <c r="E3" s="49" t="s">
        <v>11</v>
      </c>
      <c r="F3" s="50" t="s">
        <v>113</v>
      </c>
      <c r="G3" s="49" t="s">
        <v>12</v>
      </c>
      <c r="H3" s="49" t="s">
        <v>107</v>
      </c>
      <c r="I3" s="49" t="s">
        <v>13</v>
      </c>
      <c r="J3" s="49" t="s">
        <v>15</v>
      </c>
      <c r="K3" s="49" t="s">
        <v>106</v>
      </c>
      <c r="L3" s="49" t="s">
        <v>16</v>
      </c>
      <c r="M3" s="49" t="s">
        <v>17</v>
      </c>
      <c r="N3" s="49" t="s">
        <v>72</v>
      </c>
      <c r="O3" s="48" t="s">
        <v>8</v>
      </c>
      <c r="P3" s="48" t="s">
        <v>18</v>
      </c>
      <c r="Q3" s="51" t="s">
        <v>73</v>
      </c>
      <c r="R3" s="14"/>
    </row>
    <row r="4" spans="1:18" ht="15.75" thickTop="1" x14ac:dyDescent="0.25">
      <c r="B4" s="2" t="s">
        <v>19</v>
      </c>
      <c r="C4" s="2" t="s">
        <v>20</v>
      </c>
      <c r="D4" s="2"/>
    </row>
    <row r="5" spans="1:18" x14ac:dyDescent="0.25">
      <c r="B5" t="s">
        <v>21</v>
      </c>
      <c r="C5" s="11" t="s">
        <v>22</v>
      </c>
      <c r="D5" t="s">
        <v>25</v>
      </c>
      <c r="E5" s="15">
        <v>16954.95</v>
      </c>
      <c r="F5" s="15">
        <v>565.95000000000005</v>
      </c>
      <c r="G5" s="15">
        <f>E5+F5</f>
        <v>17520.900000000001</v>
      </c>
      <c r="H5" s="15">
        <v>0</v>
      </c>
      <c r="I5" s="15">
        <v>3246.93</v>
      </c>
      <c r="J5" s="15">
        <v>0</v>
      </c>
      <c r="K5" s="15">
        <v>0</v>
      </c>
      <c r="L5" s="15">
        <f>E5*0.105</f>
        <v>1780.2697499999999</v>
      </c>
      <c r="M5" s="15">
        <f>SUM(H5:L5)</f>
        <v>5027.1997499999998</v>
      </c>
      <c r="N5" s="18">
        <f>G5-M5</f>
        <v>12493.700250000002</v>
      </c>
      <c r="O5" s="10">
        <v>1223.77</v>
      </c>
      <c r="P5" s="10">
        <v>2797.56</v>
      </c>
      <c r="Q5" s="35">
        <f>SUM(O5:P5)</f>
        <v>4021.33</v>
      </c>
    </row>
    <row r="6" spans="1:18" x14ac:dyDescent="0.25">
      <c r="B6" t="s">
        <v>23</v>
      </c>
      <c r="C6" s="11" t="s">
        <v>24</v>
      </c>
      <c r="D6" t="s">
        <v>3</v>
      </c>
      <c r="E6" s="15">
        <v>4850</v>
      </c>
      <c r="F6" s="15">
        <v>134.505</v>
      </c>
      <c r="G6" s="15">
        <f t="shared" ref="G6:G7" si="0">E6+F6</f>
        <v>4984.5050000000001</v>
      </c>
      <c r="H6" s="15">
        <v>0</v>
      </c>
      <c r="I6" s="15">
        <v>491.69</v>
      </c>
      <c r="J6" s="15">
        <v>0</v>
      </c>
      <c r="K6" s="15">
        <v>0</v>
      </c>
      <c r="L6" s="15">
        <f t="shared" ref="L6:L7" si="1">E6*0.105</f>
        <v>509.25</v>
      </c>
      <c r="M6" s="15">
        <f>SUM(H6:L6)</f>
        <v>1000.94</v>
      </c>
      <c r="N6" s="18">
        <f>G6-M6</f>
        <v>3983.5650000000001</v>
      </c>
      <c r="O6" s="10">
        <v>480.14</v>
      </c>
      <c r="P6" s="10">
        <v>800.25</v>
      </c>
      <c r="Q6" s="35">
        <f t="shared" ref="Q6:Q7" si="2">SUM(O6:P6)</f>
        <v>1280.3899999999999</v>
      </c>
    </row>
    <row r="7" spans="1:18" x14ac:dyDescent="0.25">
      <c r="B7" t="s">
        <v>41</v>
      </c>
      <c r="C7" s="11" t="s">
        <v>42</v>
      </c>
      <c r="D7" t="s">
        <v>2</v>
      </c>
      <c r="E7" s="15">
        <v>10000</v>
      </c>
      <c r="F7" s="15">
        <v>106.02</v>
      </c>
      <c r="G7" s="15">
        <f t="shared" si="0"/>
        <v>10106.02</v>
      </c>
      <c r="H7" s="15">
        <v>0</v>
      </c>
      <c r="I7" s="15">
        <v>1581.44</v>
      </c>
      <c r="J7" s="15">
        <v>0</v>
      </c>
      <c r="K7" s="15">
        <v>0</v>
      </c>
      <c r="L7" s="15">
        <f t="shared" si="1"/>
        <v>1050</v>
      </c>
      <c r="M7" s="15">
        <f>SUM(H7:L7)</f>
        <v>2631.44</v>
      </c>
      <c r="N7" s="18">
        <f>G7-M7</f>
        <v>7474.58</v>
      </c>
      <c r="O7" s="10">
        <v>796.52</v>
      </c>
      <c r="P7" s="10">
        <v>1650</v>
      </c>
      <c r="Q7" s="35">
        <f t="shared" si="2"/>
        <v>2446.52</v>
      </c>
    </row>
    <row r="8" spans="1:18" x14ac:dyDescent="0.25">
      <c r="A8" t="s">
        <v>135</v>
      </c>
      <c r="B8" s="7" t="s">
        <v>26</v>
      </c>
      <c r="E8" s="34">
        <f>SUM(E5:E7)</f>
        <v>31804.95</v>
      </c>
      <c r="F8" s="34">
        <f>SUM(F5:F7)</f>
        <v>806.47500000000002</v>
      </c>
      <c r="G8" s="34">
        <f>SUM(G5:G7)</f>
        <v>32611.425000000003</v>
      </c>
      <c r="H8" s="34">
        <f t="shared" ref="H8:Q8" si="3">SUM(H5:H7)</f>
        <v>0</v>
      </c>
      <c r="I8" s="34">
        <f t="shared" si="3"/>
        <v>5320.0599999999995</v>
      </c>
      <c r="J8" s="34">
        <f t="shared" si="3"/>
        <v>0</v>
      </c>
      <c r="K8" s="34">
        <f t="shared" si="3"/>
        <v>0</v>
      </c>
      <c r="L8" s="34">
        <f t="shared" si="3"/>
        <v>3339.5197499999999</v>
      </c>
      <c r="M8" s="34">
        <f t="shared" si="3"/>
        <v>8659.5797500000008</v>
      </c>
      <c r="N8" s="34">
        <f t="shared" si="3"/>
        <v>23951.845249999998</v>
      </c>
      <c r="O8" s="34">
        <f t="shared" si="3"/>
        <v>2500.4299999999998</v>
      </c>
      <c r="P8" s="34">
        <f t="shared" si="3"/>
        <v>5247.8099999999995</v>
      </c>
      <c r="Q8" s="34">
        <f t="shared" si="3"/>
        <v>7748.24</v>
      </c>
    </row>
    <row r="10" spans="1:18" x14ac:dyDescent="0.25">
      <c r="B10" s="2" t="s">
        <v>27</v>
      </c>
      <c r="C10" s="2" t="s">
        <v>28</v>
      </c>
    </row>
    <row r="11" spans="1:18" x14ac:dyDescent="0.25">
      <c r="B11" t="s">
        <v>32</v>
      </c>
      <c r="C11" s="11" t="s">
        <v>37</v>
      </c>
      <c r="D11" t="s">
        <v>1</v>
      </c>
      <c r="E11" s="15">
        <v>10000</v>
      </c>
      <c r="F11" s="15">
        <v>106.02</v>
      </c>
      <c r="G11" s="15">
        <f>E11+F11</f>
        <v>10106.02</v>
      </c>
      <c r="H11" s="15">
        <v>0</v>
      </c>
      <c r="I11" s="15">
        <v>1581.44</v>
      </c>
      <c r="J11" s="15">
        <v>0</v>
      </c>
      <c r="K11" s="15">
        <v>0</v>
      </c>
      <c r="L11" s="15">
        <f t="shared" ref="L11:L18" si="4">E11*0.105</f>
        <v>1050</v>
      </c>
      <c r="M11" s="15">
        <f t="shared" ref="M11:M18" si="5">SUM(H11:L11)</f>
        <v>2631.44</v>
      </c>
      <c r="N11" s="18">
        <f t="shared" ref="N11:N18" si="6">G11-M11</f>
        <v>7474.58</v>
      </c>
      <c r="O11" s="10">
        <v>796.52</v>
      </c>
      <c r="P11" s="10">
        <v>1650</v>
      </c>
      <c r="Q11" s="35">
        <f>O11+P11</f>
        <v>2446.52</v>
      </c>
    </row>
    <row r="12" spans="1:18" x14ac:dyDescent="0.25">
      <c r="B12" t="s">
        <v>33</v>
      </c>
      <c r="C12" s="11" t="s">
        <v>38</v>
      </c>
      <c r="D12" t="s">
        <v>74</v>
      </c>
      <c r="E12" s="15">
        <v>5350</v>
      </c>
      <c r="F12" s="19">
        <v>50.77</v>
      </c>
      <c r="G12" s="15">
        <f t="shared" ref="G12:G18" si="7">E12+F12</f>
        <v>5400.77</v>
      </c>
      <c r="H12" s="15">
        <v>0</v>
      </c>
      <c r="I12" s="15">
        <v>588.20000000000005</v>
      </c>
      <c r="J12" s="15">
        <v>0</v>
      </c>
      <c r="K12" s="15">
        <v>0</v>
      </c>
      <c r="L12" s="15">
        <f t="shared" si="4"/>
        <v>561.75</v>
      </c>
      <c r="M12" s="15">
        <f t="shared" si="5"/>
        <v>1149.95</v>
      </c>
      <c r="N12" s="18">
        <f t="shared" si="6"/>
        <v>4250.8200000000006</v>
      </c>
      <c r="O12" s="10">
        <v>510.86</v>
      </c>
      <c r="P12" s="10">
        <v>882.75</v>
      </c>
      <c r="Q12" s="35">
        <f>O12+P12</f>
        <v>1393.6100000000001</v>
      </c>
    </row>
    <row r="13" spans="1:18" x14ac:dyDescent="0.25">
      <c r="B13" t="s">
        <v>34</v>
      </c>
      <c r="C13" t="s">
        <v>90</v>
      </c>
      <c r="D13" t="s">
        <v>75</v>
      </c>
      <c r="E13" s="15">
        <v>0</v>
      </c>
      <c r="F13" s="15">
        <f t="shared" ref="F13" si="8">E13</f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f t="shared" ref="M13" si="9">SUM(G13:L13)</f>
        <v>0</v>
      </c>
      <c r="N13" s="18">
        <f t="shared" ref="N13" si="10">F13-M13</f>
        <v>0</v>
      </c>
      <c r="O13" s="36">
        <v>0</v>
      </c>
      <c r="P13" s="36">
        <v>0</v>
      </c>
      <c r="Q13" s="35">
        <f>O13+P13</f>
        <v>0</v>
      </c>
    </row>
    <row r="14" spans="1:18" x14ac:dyDescent="0.25">
      <c r="B14" t="s">
        <v>35</v>
      </c>
      <c r="C14" t="s">
        <v>111</v>
      </c>
      <c r="D14" t="s">
        <v>77</v>
      </c>
      <c r="E14" s="15">
        <v>6000</v>
      </c>
      <c r="F14" s="15">
        <v>0</v>
      </c>
      <c r="G14" s="15">
        <f t="shared" si="7"/>
        <v>6000</v>
      </c>
      <c r="H14" s="15">
        <v>0</v>
      </c>
      <c r="I14" s="15">
        <v>727.04</v>
      </c>
      <c r="J14" s="15">
        <v>0</v>
      </c>
      <c r="K14" s="15">
        <v>0</v>
      </c>
      <c r="L14" s="15">
        <f t="shared" si="4"/>
        <v>630</v>
      </c>
      <c r="M14" s="15">
        <f t="shared" si="5"/>
        <v>1357.04</v>
      </c>
      <c r="N14" s="18">
        <f t="shared" si="6"/>
        <v>4642.96</v>
      </c>
      <c r="O14" s="10">
        <v>550.79</v>
      </c>
      <c r="P14" s="10">
        <v>990</v>
      </c>
      <c r="Q14" s="35">
        <f>O14+P14</f>
        <v>1540.79</v>
      </c>
    </row>
    <row r="15" spans="1:18" x14ac:dyDescent="0.25">
      <c r="B15" t="s">
        <v>36</v>
      </c>
      <c r="C15" t="s">
        <v>86</v>
      </c>
      <c r="D15" t="s">
        <v>5</v>
      </c>
      <c r="E15" s="15">
        <v>5000</v>
      </c>
      <c r="F15" s="15">
        <v>139.83000000000001</v>
      </c>
      <c r="G15" s="15">
        <f t="shared" si="7"/>
        <v>5139.83</v>
      </c>
      <c r="H15" s="15">
        <v>0</v>
      </c>
      <c r="I15" s="15">
        <v>518.57000000000005</v>
      </c>
      <c r="J15" s="15">
        <v>0</v>
      </c>
      <c r="K15" s="15">
        <v>0</v>
      </c>
      <c r="L15" s="15">
        <f t="shared" si="4"/>
        <v>525</v>
      </c>
      <c r="M15" s="15">
        <f t="shared" si="5"/>
        <v>1043.5700000000002</v>
      </c>
      <c r="N15" s="18">
        <f t="shared" si="6"/>
        <v>4096.26</v>
      </c>
      <c r="O15" s="10">
        <v>489.36</v>
      </c>
      <c r="P15" s="10">
        <v>825</v>
      </c>
      <c r="Q15" s="35">
        <f>O15+P15</f>
        <v>1314.3600000000001</v>
      </c>
    </row>
    <row r="16" spans="1:18" x14ac:dyDescent="0.25">
      <c r="B16" t="s">
        <v>115</v>
      </c>
      <c r="C16" t="s">
        <v>87</v>
      </c>
      <c r="D16" t="s">
        <v>39</v>
      </c>
      <c r="E16" s="15">
        <v>4500</v>
      </c>
      <c r="F16" s="15">
        <v>122.01</v>
      </c>
      <c r="G16" s="15">
        <f t="shared" si="7"/>
        <v>4622.01</v>
      </c>
      <c r="H16" s="15">
        <v>0</v>
      </c>
      <c r="I16" s="15">
        <v>428.97</v>
      </c>
      <c r="J16" s="15">
        <v>0</v>
      </c>
      <c r="K16" s="15">
        <v>0</v>
      </c>
      <c r="L16" s="15">
        <f t="shared" si="4"/>
        <v>472.5</v>
      </c>
      <c r="M16" s="15">
        <f t="shared" si="5"/>
        <v>901.47</v>
      </c>
      <c r="N16" s="18">
        <f t="shared" si="6"/>
        <v>3720.54</v>
      </c>
      <c r="O16" s="10">
        <v>458.64</v>
      </c>
      <c r="P16" s="10">
        <v>742.5</v>
      </c>
      <c r="Q16" s="35">
        <f t="shared" ref="Q16:Q18" si="11">O16+P16</f>
        <v>1201.1399999999999</v>
      </c>
    </row>
    <row r="17" spans="1:17" x14ac:dyDescent="0.25">
      <c r="B17" t="s">
        <v>116</v>
      </c>
      <c r="C17" t="s">
        <v>89</v>
      </c>
      <c r="D17" t="s">
        <v>4</v>
      </c>
      <c r="E17" s="15">
        <v>2700</v>
      </c>
      <c r="F17" s="15">
        <v>57.87</v>
      </c>
      <c r="G17" s="15">
        <f t="shared" si="7"/>
        <v>2757.87</v>
      </c>
      <c r="H17" s="15">
        <v>0</v>
      </c>
      <c r="I17" s="15">
        <v>188.33</v>
      </c>
      <c r="J17" s="15">
        <v>0</v>
      </c>
      <c r="K17" s="15">
        <v>0</v>
      </c>
      <c r="L17" s="15">
        <f t="shared" si="4"/>
        <v>283.5</v>
      </c>
      <c r="M17" s="15">
        <f t="shared" si="5"/>
        <v>471.83000000000004</v>
      </c>
      <c r="N17" s="18">
        <f t="shared" si="6"/>
        <v>2286.04</v>
      </c>
      <c r="O17" s="10">
        <v>348.07</v>
      </c>
      <c r="P17" s="10">
        <v>445.5</v>
      </c>
      <c r="Q17" s="35">
        <f t="shared" si="11"/>
        <v>793.56999999999994</v>
      </c>
    </row>
    <row r="18" spans="1:17" x14ac:dyDescent="0.25">
      <c r="B18" t="s">
        <v>117</v>
      </c>
      <c r="C18" t="s">
        <v>88</v>
      </c>
      <c r="D18" t="s">
        <v>40</v>
      </c>
      <c r="E18" s="15">
        <v>3150</v>
      </c>
      <c r="F18" s="15">
        <v>73.92</v>
      </c>
      <c r="G18" s="15">
        <f t="shared" si="7"/>
        <v>3223.92</v>
      </c>
      <c r="H18" s="15">
        <v>0</v>
      </c>
      <c r="I18" s="15">
        <v>237.29</v>
      </c>
      <c r="J18" s="15">
        <v>0</v>
      </c>
      <c r="K18" s="15">
        <v>0</v>
      </c>
      <c r="L18" s="15">
        <f t="shared" si="4"/>
        <v>330.75</v>
      </c>
      <c r="M18" s="15">
        <f t="shared" si="5"/>
        <v>568.04</v>
      </c>
      <c r="N18" s="18">
        <f t="shared" si="6"/>
        <v>2655.88</v>
      </c>
      <c r="O18" s="10">
        <v>375.71</v>
      </c>
      <c r="P18" s="10">
        <v>519.75</v>
      </c>
      <c r="Q18" s="35">
        <f t="shared" si="11"/>
        <v>895.46</v>
      </c>
    </row>
    <row r="19" spans="1:17" x14ac:dyDescent="0.25">
      <c r="A19" t="s">
        <v>136</v>
      </c>
      <c r="B19" s="2" t="s">
        <v>26</v>
      </c>
      <c r="E19" s="34">
        <f t="shared" ref="E19:Q19" si="12">SUM(E11:E18)</f>
        <v>36700</v>
      </c>
      <c r="F19" s="34">
        <f t="shared" si="12"/>
        <v>550.41999999999996</v>
      </c>
      <c r="G19" s="34">
        <f t="shared" si="12"/>
        <v>37250.420000000006</v>
      </c>
      <c r="H19" s="34">
        <f t="shared" si="12"/>
        <v>0</v>
      </c>
      <c r="I19" s="34">
        <f t="shared" si="12"/>
        <v>4269.84</v>
      </c>
      <c r="J19" s="34">
        <f t="shared" si="12"/>
        <v>0</v>
      </c>
      <c r="K19" s="34">
        <f t="shared" si="12"/>
        <v>0</v>
      </c>
      <c r="L19" s="34">
        <f t="shared" si="12"/>
        <v>3853.5</v>
      </c>
      <c r="M19" s="34">
        <f t="shared" si="12"/>
        <v>8123.34</v>
      </c>
      <c r="N19" s="34">
        <f t="shared" si="12"/>
        <v>29127.080000000005</v>
      </c>
      <c r="O19" s="34">
        <f t="shared" si="12"/>
        <v>3529.9500000000003</v>
      </c>
      <c r="P19" s="34">
        <f t="shared" si="12"/>
        <v>6055.5</v>
      </c>
      <c r="Q19" s="34">
        <f t="shared" si="12"/>
        <v>9585.4500000000007</v>
      </c>
    </row>
    <row r="20" spans="1:17" x14ac:dyDescent="0.25">
      <c r="B20" s="2"/>
    </row>
    <row r="21" spans="1:17" x14ac:dyDescent="0.25">
      <c r="B21" s="2" t="s">
        <v>43</v>
      </c>
      <c r="C21" s="2" t="s">
        <v>44</v>
      </c>
    </row>
    <row r="22" spans="1:17" x14ac:dyDescent="0.25">
      <c r="B22" t="s">
        <v>118</v>
      </c>
      <c r="C22" t="s">
        <v>90</v>
      </c>
      <c r="D22" t="s">
        <v>6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8">
        <v>0</v>
      </c>
      <c r="O22" s="36">
        <v>0</v>
      </c>
      <c r="P22" s="36">
        <v>0</v>
      </c>
      <c r="Q22" s="35">
        <v>0</v>
      </c>
    </row>
    <row r="23" spans="1:17" x14ac:dyDescent="0.25">
      <c r="B23" t="s">
        <v>119</v>
      </c>
      <c r="C23" t="s">
        <v>91</v>
      </c>
      <c r="D23" t="s">
        <v>76</v>
      </c>
      <c r="E23" s="15">
        <v>5350</v>
      </c>
      <c r="F23" s="15">
        <v>50.77</v>
      </c>
      <c r="G23" s="15">
        <f>E23+F23</f>
        <v>5400.77</v>
      </c>
      <c r="H23" s="15">
        <v>0</v>
      </c>
      <c r="I23" s="15">
        <v>588.20000000000005</v>
      </c>
      <c r="J23" s="15">
        <v>0</v>
      </c>
      <c r="K23" s="15">
        <v>0</v>
      </c>
      <c r="L23" s="15">
        <f t="shared" ref="L23" si="13">E23*0.105</f>
        <v>561.75</v>
      </c>
      <c r="M23" s="15">
        <f>SUM(H23:L23)</f>
        <v>1149.95</v>
      </c>
      <c r="N23" s="18">
        <f>G23-M23</f>
        <v>4250.8200000000006</v>
      </c>
      <c r="O23" s="10">
        <v>510.86</v>
      </c>
      <c r="P23" s="10">
        <v>882.75</v>
      </c>
      <c r="Q23" s="35">
        <f>O23+P23</f>
        <v>1393.6100000000001</v>
      </c>
    </row>
    <row r="24" spans="1:17" x14ac:dyDescent="0.25">
      <c r="A24" t="s">
        <v>134</v>
      </c>
      <c r="B24" s="2" t="s">
        <v>26</v>
      </c>
      <c r="E24" s="34">
        <f>SUM(E22:E23)</f>
        <v>5350</v>
      </c>
      <c r="F24" s="34">
        <f>F23</f>
        <v>50.77</v>
      </c>
      <c r="G24" s="34">
        <f>SUM(G22:G23)</f>
        <v>5400.77</v>
      </c>
      <c r="H24" s="34">
        <f t="shared" ref="H24:Q24" si="14">SUM(H22:H23)</f>
        <v>0</v>
      </c>
      <c r="I24" s="34">
        <f t="shared" si="14"/>
        <v>588.20000000000005</v>
      </c>
      <c r="J24" s="34">
        <f t="shared" si="14"/>
        <v>0</v>
      </c>
      <c r="K24" s="34">
        <f t="shared" si="14"/>
        <v>0</v>
      </c>
      <c r="L24" s="34">
        <f t="shared" si="14"/>
        <v>561.75</v>
      </c>
      <c r="M24" s="34">
        <f t="shared" si="14"/>
        <v>1149.95</v>
      </c>
      <c r="N24" s="34">
        <f t="shared" si="14"/>
        <v>4250.8200000000006</v>
      </c>
      <c r="O24" s="34">
        <f t="shared" si="14"/>
        <v>510.86</v>
      </c>
      <c r="P24" s="34">
        <f t="shared" si="14"/>
        <v>882.75</v>
      </c>
      <c r="Q24" s="34">
        <f t="shared" si="14"/>
        <v>1393.6100000000001</v>
      </c>
    </row>
    <row r="26" spans="1:17" x14ac:dyDescent="0.25">
      <c r="B26" s="2" t="s">
        <v>50</v>
      </c>
      <c r="C26" s="2" t="s">
        <v>47</v>
      </c>
    </row>
    <row r="27" spans="1:17" x14ac:dyDescent="0.25">
      <c r="B27" t="s">
        <v>120</v>
      </c>
      <c r="C27" t="s">
        <v>93</v>
      </c>
      <c r="D27" t="s">
        <v>78</v>
      </c>
      <c r="E27" s="15">
        <v>5350</v>
      </c>
      <c r="F27" s="15">
        <v>152.31</v>
      </c>
      <c r="G27" s="15">
        <f>E27+F27</f>
        <v>5502.31</v>
      </c>
      <c r="H27" s="15">
        <v>0</v>
      </c>
      <c r="I27" s="15">
        <v>588.20000000000005</v>
      </c>
      <c r="J27" s="15">
        <v>0</v>
      </c>
      <c r="K27" s="15">
        <v>0</v>
      </c>
      <c r="L27" s="15">
        <f>E27*0.105</f>
        <v>561.75</v>
      </c>
      <c r="M27" s="15">
        <f>SUM(H27:L27)</f>
        <v>1149.95</v>
      </c>
      <c r="N27" s="18">
        <f>G27-M27</f>
        <v>4352.3600000000006</v>
      </c>
      <c r="O27" s="10">
        <v>510.86</v>
      </c>
      <c r="P27" s="10">
        <v>882.75</v>
      </c>
      <c r="Q27" s="35">
        <f>O27+P27</f>
        <v>1393.6100000000001</v>
      </c>
    </row>
    <row r="28" spans="1:17" x14ac:dyDescent="0.25">
      <c r="B28" t="s">
        <v>121</v>
      </c>
      <c r="C28" t="s">
        <v>114</v>
      </c>
      <c r="D28" t="s">
        <v>79</v>
      </c>
      <c r="E28" s="15">
        <v>5350</v>
      </c>
      <c r="F28" s="15">
        <v>0</v>
      </c>
      <c r="G28" s="15">
        <f>E28+F28</f>
        <v>5350</v>
      </c>
      <c r="H28" s="15">
        <v>0</v>
      </c>
      <c r="I28" s="15">
        <v>588.20000000000005</v>
      </c>
      <c r="J28" s="15">
        <v>0</v>
      </c>
      <c r="K28" s="15">
        <v>0</v>
      </c>
      <c r="L28" s="15">
        <f>E28*0.105</f>
        <v>561.75</v>
      </c>
      <c r="M28" s="15">
        <f>SUM(H28:L28)</f>
        <v>1149.95</v>
      </c>
      <c r="N28" s="18">
        <f>G28-M28</f>
        <v>4200.05</v>
      </c>
      <c r="O28" s="36">
        <v>510.86</v>
      </c>
      <c r="P28" s="36">
        <v>882.75</v>
      </c>
      <c r="Q28" s="35">
        <f>O28+P28</f>
        <v>1393.6100000000001</v>
      </c>
    </row>
    <row r="29" spans="1:17" x14ac:dyDescent="0.25">
      <c r="A29" t="s">
        <v>137</v>
      </c>
      <c r="B29" s="2" t="s">
        <v>26</v>
      </c>
      <c r="E29" s="34">
        <f>SUM(E27:E28)</f>
        <v>10700</v>
      </c>
      <c r="F29" s="34">
        <f>SUM(F27:F28)</f>
        <v>152.31</v>
      </c>
      <c r="G29" s="34">
        <f>SUM(G27:G28)</f>
        <v>10852.310000000001</v>
      </c>
      <c r="H29" s="34">
        <f t="shared" ref="H29:Q29" si="15">SUM(H27:H28)</f>
        <v>0</v>
      </c>
      <c r="I29" s="34">
        <f t="shared" si="15"/>
        <v>1176.4000000000001</v>
      </c>
      <c r="J29" s="34">
        <f t="shared" si="15"/>
        <v>0</v>
      </c>
      <c r="K29" s="34">
        <f t="shared" si="15"/>
        <v>0</v>
      </c>
      <c r="L29" s="34">
        <f t="shared" si="15"/>
        <v>1123.5</v>
      </c>
      <c r="M29" s="34">
        <f t="shared" si="15"/>
        <v>2299.9</v>
      </c>
      <c r="N29" s="34">
        <f t="shared" si="15"/>
        <v>8552.41</v>
      </c>
      <c r="O29" s="34">
        <f t="shared" si="15"/>
        <v>1021.72</v>
      </c>
      <c r="P29" s="34">
        <f t="shared" si="15"/>
        <v>1765.5</v>
      </c>
      <c r="Q29" s="34">
        <f t="shared" si="15"/>
        <v>2787.2200000000003</v>
      </c>
    </row>
    <row r="31" spans="1:17" x14ac:dyDescent="0.25">
      <c r="B31" s="2" t="s">
        <v>63</v>
      </c>
      <c r="C31" s="2" t="s">
        <v>51</v>
      </c>
    </row>
    <row r="32" spans="1:17" x14ac:dyDescent="0.25">
      <c r="B32" t="s">
        <v>122</v>
      </c>
      <c r="C32" t="s">
        <v>97</v>
      </c>
      <c r="D32" t="s">
        <v>80</v>
      </c>
      <c r="E32" s="15">
        <v>5350</v>
      </c>
      <c r="F32" s="15">
        <v>152.31</v>
      </c>
      <c r="G32" s="15">
        <f>E32+F32</f>
        <v>5502.31</v>
      </c>
      <c r="H32" s="15">
        <v>0</v>
      </c>
      <c r="I32" s="15">
        <v>588.20000000000005</v>
      </c>
      <c r="J32" s="15">
        <v>0</v>
      </c>
      <c r="K32" s="15">
        <v>0</v>
      </c>
      <c r="L32" s="15">
        <f>E32*0.105</f>
        <v>561.75</v>
      </c>
      <c r="M32" s="15">
        <f t="shared" ref="M32:M42" si="16">SUM(H32:L32)</f>
        <v>1149.95</v>
      </c>
      <c r="N32" s="18">
        <f t="shared" ref="N32:N42" si="17">G32-M32</f>
        <v>4352.3600000000006</v>
      </c>
      <c r="O32" s="10">
        <v>510.86</v>
      </c>
      <c r="P32" s="10">
        <v>882.75</v>
      </c>
      <c r="Q32" s="35">
        <f t="shared" ref="Q32:Q42" si="18">O32+P32</f>
        <v>1393.6100000000001</v>
      </c>
    </row>
    <row r="33" spans="1:17" x14ac:dyDescent="0.25">
      <c r="B33" t="s">
        <v>123</v>
      </c>
      <c r="C33" t="s">
        <v>100</v>
      </c>
      <c r="D33" t="s">
        <v>80</v>
      </c>
      <c r="E33" s="15">
        <v>5350</v>
      </c>
      <c r="F33" s="15">
        <v>152.31</v>
      </c>
      <c r="G33" s="15">
        <f t="shared" ref="G33:G42" si="19">E33+F33</f>
        <v>5502.31</v>
      </c>
      <c r="H33" s="15">
        <v>0</v>
      </c>
      <c r="I33" s="15">
        <v>588.20000000000005</v>
      </c>
      <c r="J33" s="15">
        <v>0</v>
      </c>
      <c r="K33" s="15">
        <v>0</v>
      </c>
      <c r="L33" s="15">
        <f t="shared" ref="L33:L42" si="20">E33*0.105</f>
        <v>561.75</v>
      </c>
      <c r="M33" s="15">
        <f t="shared" si="16"/>
        <v>1149.95</v>
      </c>
      <c r="N33" s="18">
        <f t="shared" si="17"/>
        <v>4352.3600000000006</v>
      </c>
      <c r="O33" s="10">
        <v>510.86</v>
      </c>
      <c r="P33" s="10">
        <v>882.75</v>
      </c>
      <c r="Q33" s="35">
        <f t="shared" si="18"/>
        <v>1393.6100000000001</v>
      </c>
    </row>
    <row r="34" spans="1:17" x14ac:dyDescent="0.25">
      <c r="B34" t="s">
        <v>124</v>
      </c>
      <c r="C34" t="s">
        <v>96</v>
      </c>
      <c r="D34" t="s">
        <v>78</v>
      </c>
      <c r="E34" s="15">
        <v>5350</v>
      </c>
      <c r="F34" s="15">
        <v>152.31</v>
      </c>
      <c r="G34" s="15">
        <f t="shared" si="19"/>
        <v>5502.31</v>
      </c>
      <c r="H34" s="15">
        <v>0</v>
      </c>
      <c r="I34" s="15">
        <v>588.20000000000005</v>
      </c>
      <c r="J34" s="15">
        <v>0</v>
      </c>
      <c r="K34" s="15">
        <v>0</v>
      </c>
      <c r="L34" s="15">
        <f t="shared" si="20"/>
        <v>561.75</v>
      </c>
      <c r="M34" s="15">
        <f t="shared" si="16"/>
        <v>1149.95</v>
      </c>
      <c r="N34" s="18">
        <f t="shared" si="17"/>
        <v>4352.3600000000006</v>
      </c>
      <c r="O34" s="10">
        <v>510.86</v>
      </c>
      <c r="P34" s="10">
        <v>882.75</v>
      </c>
      <c r="Q34" s="35">
        <f t="shared" si="18"/>
        <v>1393.6100000000001</v>
      </c>
    </row>
    <row r="35" spans="1:17" x14ac:dyDescent="0.25">
      <c r="B35" t="s">
        <v>125</v>
      </c>
      <c r="C35" t="s">
        <v>104</v>
      </c>
      <c r="D35" t="s">
        <v>78</v>
      </c>
      <c r="E35" s="15">
        <v>5350</v>
      </c>
      <c r="F35" s="15">
        <v>152.31</v>
      </c>
      <c r="G35" s="15">
        <f t="shared" si="19"/>
        <v>5502.31</v>
      </c>
      <c r="H35" s="15">
        <v>0</v>
      </c>
      <c r="I35" s="15">
        <v>588.20000000000005</v>
      </c>
      <c r="J35" s="15">
        <v>0</v>
      </c>
      <c r="K35" s="15">
        <v>0</v>
      </c>
      <c r="L35" s="15">
        <f t="shared" si="20"/>
        <v>561.75</v>
      </c>
      <c r="M35" s="15">
        <f t="shared" si="16"/>
        <v>1149.95</v>
      </c>
      <c r="N35" s="18">
        <f t="shared" si="17"/>
        <v>4352.3600000000006</v>
      </c>
      <c r="O35" s="10">
        <v>510.86</v>
      </c>
      <c r="P35" s="10">
        <v>882.75</v>
      </c>
      <c r="Q35" s="35">
        <f t="shared" si="18"/>
        <v>1393.6100000000001</v>
      </c>
    </row>
    <row r="36" spans="1:17" x14ac:dyDescent="0.25">
      <c r="B36" t="s">
        <v>126</v>
      </c>
      <c r="C36" t="s">
        <v>94</v>
      </c>
      <c r="D36" t="s">
        <v>81</v>
      </c>
      <c r="E36" s="15">
        <v>5350</v>
      </c>
      <c r="F36" s="15">
        <v>152.31</v>
      </c>
      <c r="G36" s="15">
        <f t="shared" si="19"/>
        <v>5502.31</v>
      </c>
      <c r="H36" s="15">
        <v>0</v>
      </c>
      <c r="I36" s="15">
        <v>588.20000000000005</v>
      </c>
      <c r="J36" s="15">
        <v>0</v>
      </c>
      <c r="K36" s="15">
        <v>0</v>
      </c>
      <c r="L36" s="15">
        <f t="shared" si="20"/>
        <v>561.75</v>
      </c>
      <c r="M36" s="15">
        <f t="shared" si="16"/>
        <v>1149.95</v>
      </c>
      <c r="N36" s="18">
        <f t="shared" si="17"/>
        <v>4352.3600000000006</v>
      </c>
      <c r="O36" s="10">
        <v>510.86</v>
      </c>
      <c r="P36" s="10">
        <v>882.75</v>
      </c>
      <c r="Q36" s="35">
        <f t="shared" si="18"/>
        <v>1393.6100000000001</v>
      </c>
    </row>
    <row r="37" spans="1:17" x14ac:dyDescent="0.25">
      <c r="B37" t="s">
        <v>127</v>
      </c>
      <c r="C37" t="s">
        <v>98</v>
      </c>
      <c r="D37" t="s">
        <v>81</v>
      </c>
      <c r="E37" s="15">
        <v>5350</v>
      </c>
      <c r="F37" s="15">
        <v>152.31</v>
      </c>
      <c r="G37" s="15">
        <f t="shared" si="19"/>
        <v>5502.31</v>
      </c>
      <c r="H37" s="15">
        <v>0</v>
      </c>
      <c r="I37" s="15">
        <v>588.20000000000005</v>
      </c>
      <c r="J37" s="15">
        <v>0</v>
      </c>
      <c r="K37" s="15">
        <v>0</v>
      </c>
      <c r="L37" s="15">
        <f t="shared" si="20"/>
        <v>561.75</v>
      </c>
      <c r="M37" s="15">
        <f t="shared" si="16"/>
        <v>1149.95</v>
      </c>
      <c r="N37" s="18">
        <f t="shared" si="17"/>
        <v>4352.3600000000006</v>
      </c>
      <c r="O37" s="10">
        <v>510.86</v>
      </c>
      <c r="P37" s="10">
        <v>882.75</v>
      </c>
      <c r="Q37" s="35">
        <f t="shared" si="18"/>
        <v>1393.6100000000001</v>
      </c>
    </row>
    <row r="38" spans="1:17" x14ac:dyDescent="0.25">
      <c r="B38" t="s">
        <v>128</v>
      </c>
      <c r="C38" t="s">
        <v>101</v>
      </c>
      <c r="D38" t="s">
        <v>81</v>
      </c>
      <c r="E38" s="15">
        <v>5350</v>
      </c>
      <c r="F38" s="15">
        <v>152.31</v>
      </c>
      <c r="G38" s="15">
        <f t="shared" si="19"/>
        <v>5502.31</v>
      </c>
      <c r="H38" s="15">
        <v>0</v>
      </c>
      <c r="I38" s="15">
        <v>588.20000000000005</v>
      </c>
      <c r="J38" s="15">
        <v>0</v>
      </c>
      <c r="K38" s="15">
        <v>0</v>
      </c>
      <c r="L38" s="15">
        <f t="shared" si="20"/>
        <v>561.75</v>
      </c>
      <c r="M38" s="15">
        <f t="shared" si="16"/>
        <v>1149.95</v>
      </c>
      <c r="N38" s="18">
        <f t="shared" si="17"/>
        <v>4352.3600000000006</v>
      </c>
      <c r="O38" s="10">
        <v>510.86</v>
      </c>
      <c r="P38" s="10">
        <v>882.75</v>
      </c>
      <c r="Q38" s="35">
        <f t="shared" si="18"/>
        <v>1393.6100000000001</v>
      </c>
    </row>
    <row r="39" spans="1:17" x14ac:dyDescent="0.25">
      <c r="B39" t="s">
        <v>129</v>
      </c>
      <c r="C39" t="s">
        <v>95</v>
      </c>
      <c r="D39" t="s">
        <v>82</v>
      </c>
      <c r="E39" s="15">
        <v>5350</v>
      </c>
      <c r="F39" s="15">
        <v>152.31</v>
      </c>
      <c r="G39" s="15">
        <f t="shared" si="19"/>
        <v>5502.31</v>
      </c>
      <c r="H39" s="15">
        <v>0</v>
      </c>
      <c r="I39" s="15">
        <v>588.20000000000005</v>
      </c>
      <c r="J39" s="15">
        <v>0</v>
      </c>
      <c r="K39" s="15">
        <v>0</v>
      </c>
      <c r="L39" s="15">
        <f t="shared" si="20"/>
        <v>561.75</v>
      </c>
      <c r="M39" s="15">
        <f t="shared" si="16"/>
        <v>1149.95</v>
      </c>
      <c r="N39" s="18">
        <f t="shared" si="17"/>
        <v>4352.3600000000006</v>
      </c>
      <c r="O39" s="10">
        <v>510.86</v>
      </c>
      <c r="P39" s="10">
        <v>882.75</v>
      </c>
      <c r="Q39" s="35">
        <f t="shared" si="18"/>
        <v>1393.6100000000001</v>
      </c>
    </row>
    <row r="40" spans="1:17" x14ac:dyDescent="0.25">
      <c r="B40" t="s">
        <v>130</v>
      </c>
      <c r="C40" t="s">
        <v>102</v>
      </c>
      <c r="D40" t="s">
        <v>82</v>
      </c>
      <c r="E40" s="15">
        <v>5350</v>
      </c>
      <c r="F40" s="15">
        <v>152.31</v>
      </c>
      <c r="G40" s="15">
        <f t="shared" si="19"/>
        <v>5502.31</v>
      </c>
      <c r="H40" s="15">
        <v>0</v>
      </c>
      <c r="I40" s="15">
        <v>588.20000000000005</v>
      </c>
      <c r="J40" s="15">
        <v>0</v>
      </c>
      <c r="K40" s="15">
        <v>0</v>
      </c>
      <c r="L40" s="15">
        <f t="shared" si="20"/>
        <v>561.75</v>
      </c>
      <c r="M40" s="15">
        <f t="shared" si="16"/>
        <v>1149.95</v>
      </c>
      <c r="N40" s="18">
        <f t="shared" si="17"/>
        <v>4352.3600000000006</v>
      </c>
      <c r="O40" s="10">
        <v>510.86</v>
      </c>
      <c r="P40" s="10">
        <v>882.75</v>
      </c>
      <c r="Q40" s="35">
        <f t="shared" si="18"/>
        <v>1393.6100000000001</v>
      </c>
    </row>
    <row r="41" spans="1:17" x14ac:dyDescent="0.25">
      <c r="B41" t="s">
        <v>131</v>
      </c>
      <c r="C41" t="s">
        <v>85</v>
      </c>
      <c r="D41" t="s">
        <v>83</v>
      </c>
      <c r="E41" s="15">
        <v>5350</v>
      </c>
      <c r="F41" s="15">
        <v>152.31</v>
      </c>
      <c r="G41" s="15">
        <f t="shared" si="19"/>
        <v>5502.31</v>
      </c>
      <c r="H41" s="15">
        <v>0</v>
      </c>
      <c r="I41" s="15">
        <v>588.20000000000005</v>
      </c>
      <c r="J41" s="15">
        <v>0</v>
      </c>
      <c r="K41" s="15">
        <v>0</v>
      </c>
      <c r="L41" s="15">
        <f t="shared" si="20"/>
        <v>561.75</v>
      </c>
      <c r="M41" s="15">
        <f t="shared" si="16"/>
        <v>1149.95</v>
      </c>
      <c r="N41" s="18">
        <f t="shared" si="17"/>
        <v>4352.3600000000006</v>
      </c>
      <c r="O41" s="10">
        <v>510.86</v>
      </c>
      <c r="P41" s="10">
        <v>882.75</v>
      </c>
      <c r="Q41" s="35">
        <f t="shared" si="18"/>
        <v>1393.6100000000001</v>
      </c>
    </row>
    <row r="42" spans="1:17" x14ac:dyDescent="0.25">
      <c r="B42" t="s">
        <v>132</v>
      </c>
      <c r="C42" t="s">
        <v>103</v>
      </c>
      <c r="D42" t="s">
        <v>83</v>
      </c>
      <c r="E42" s="15">
        <v>5350</v>
      </c>
      <c r="F42" s="15">
        <v>152.31</v>
      </c>
      <c r="G42" s="15">
        <f t="shared" si="19"/>
        <v>5502.31</v>
      </c>
      <c r="H42" s="15">
        <v>0</v>
      </c>
      <c r="I42" s="15">
        <v>588.20000000000005</v>
      </c>
      <c r="J42" s="15">
        <v>0</v>
      </c>
      <c r="K42" s="15">
        <v>0</v>
      </c>
      <c r="L42" s="15">
        <f t="shared" si="20"/>
        <v>561.75</v>
      </c>
      <c r="M42" s="15">
        <f t="shared" si="16"/>
        <v>1149.95</v>
      </c>
      <c r="N42" s="18">
        <f t="shared" si="17"/>
        <v>4352.3600000000006</v>
      </c>
      <c r="O42" s="10">
        <v>510.86</v>
      </c>
      <c r="P42" s="10">
        <v>882.75</v>
      </c>
      <c r="Q42" s="35">
        <f t="shared" si="18"/>
        <v>1393.6100000000001</v>
      </c>
    </row>
    <row r="43" spans="1:17" x14ac:dyDescent="0.25">
      <c r="A43" t="s">
        <v>138</v>
      </c>
      <c r="B43" s="2" t="s">
        <v>26</v>
      </c>
      <c r="E43" s="34">
        <f>SUM(E32:E42)</f>
        <v>58850</v>
      </c>
      <c r="F43" s="34">
        <f>SUM(F32:F42)</f>
        <v>1675.4099999999996</v>
      </c>
      <c r="G43" s="34">
        <f>SUM(G32:G42)</f>
        <v>60525.409999999989</v>
      </c>
      <c r="H43" s="34">
        <f t="shared" ref="H43:Q43" si="21">SUM(H32:H42)</f>
        <v>0</v>
      </c>
      <c r="I43" s="34">
        <f t="shared" si="21"/>
        <v>6470.1999999999989</v>
      </c>
      <c r="J43" s="34">
        <f t="shared" si="21"/>
        <v>0</v>
      </c>
      <c r="K43" s="34">
        <f t="shared" si="21"/>
        <v>0</v>
      </c>
      <c r="L43" s="34">
        <f t="shared" si="21"/>
        <v>6179.25</v>
      </c>
      <c r="M43" s="34">
        <f t="shared" si="21"/>
        <v>12649.450000000003</v>
      </c>
      <c r="N43" s="34">
        <f t="shared" si="21"/>
        <v>47875.960000000006</v>
      </c>
      <c r="O43" s="34">
        <f t="shared" si="21"/>
        <v>5619.46</v>
      </c>
      <c r="P43" s="34">
        <f t="shared" si="21"/>
        <v>9710.25</v>
      </c>
      <c r="Q43" s="34">
        <f t="shared" si="21"/>
        <v>15329.710000000005</v>
      </c>
    </row>
    <row r="45" spans="1:17" x14ac:dyDescent="0.25">
      <c r="B45" s="2" t="s">
        <v>140</v>
      </c>
      <c r="C45" s="2" t="s">
        <v>64</v>
      </c>
    </row>
    <row r="46" spans="1:17" x14ac:dyDescent="0.25">
      <c r="B46" t="s">
        <v>133</v>
      </c>
      <c r="C46" t="s">
        <v>99</v>
      </c>
      <c r="D46" t="s">
        <v>80</v>
      </c>
      <c r="E46" s="15">
        <v>5350</v>
      </c>
      <c r="F46" s="15">
        <v>152.31</v>
      </c>
      <c r="G46" s="15">
        <f>E46+F46</f>
        <v>5502.31</v>
      </c>
      <c r="H46" s="15">
        <v>0</v>
      </c>
      <c r="I46" s="15">
        <v>588.20000000000005</v>
      </c>
      <c r="J46" s="15">
        <v>0</v>
      </c>
      <c r="K46" s="15">
        <v>0</v>
      </c>
      <c r="L46" s="15">
        <f>E46*0.105</f>
        <v>561.75</v>
      </c>
      <c r="M46" s="15">
        <f>SUM(H46:L46)</f>
        <v>1149.95</v>
      </c>
      <c r="N46" s="18">
        <f>G46-M46</f>
        <v>4352.3600000000006</v>
      </c>
      <c r="O46" s="10">
        <v>510.86</v>
      </c>
      <c r="P46" s="10">
        <v>882.75</v>
      </c>
      <c r="Q46" s="35">
        <f t="shared" ref="Q46" si="22">O46+P46</f>
        <v>1393.6100000000001</v>
      </c>
    </row>
    <row r="47" spans="1:17" x14ac:dyDescent="0.25">
      <c r="A47" t="s">
        <v>139</v>
      </c>
      <c r="B47" s="2" t="s">
        <v>26</v>
      </c>
      <c r="E47" s="34">
        <f>E46</f>
        <v>5350</v>
      </c>
      <c r="F47" s="34">
        <f>F46</f>
        <v>152.31</v>
      </c>
      <c r="G47" s="34">
        <f>G46</f>
        <v>5502.31</v>
      </c>
      <c r="H47" s="34">
        <f t="shared" ref="H47:Q47" si="23">H46</f>
        <v>0</v>
      </c>
      <c r="I47" s="34">
        <f t="shared" si="23"/>
        <v>588.20000000000005</v>
      </c>
      <c r="J47" s="34">
        <f t="shared" si="23"/>
        <v>0</v>
      </c>
      <c r="K47" s="34">
        <f t="shared" si="23"/>
        <v>0</v>
      </c>
      <c r="L47" s="34">
        <f t="shared" si="23"/>
        <v>561.75</v>
      </c>
      <c r="M47" s="34">
        <f t="shared" si="23"/>
        <v>1149.95</v>
      </c>
      <c r="N47" s="34">
        <f t="shared" si="23"/>
        <v>4352.3600000000006</v>
      </c>
      <c r="O47" s="34">
        <f t="shared" si="23"/>
        <v>510.86</v>
      </c>
      <c r="P47" s="34">
        <f t="shared" si="23"/>
        <v>882.75</v>
      </c>
      <c r="Q47" s="34">
        <f t="shared" si="23"/>
        <v>1393.6100000000001</v>
      </c>
    </row>
    <row r="49" spans="2:17" x14ac:dyDescent="0.25">
      <c r="B49" s="2"/>
    </row>
    <row r="51" spans="2:17" x14ac:dyDescent="0.25">
      <c r="B51" s="2"/>
      <c r="G51" s="16"/>
      <c r="H51" s="16"/>
      <c r="I51" s="16"/>
      <c r="J51" s="16"/>
      <c r="K51" s="16"/>
      <c r="L51" s="16"/>
      <c r="M51" s="16"/>
      <c r="N51" s="16"/>
      <c r="O51" s="8"/>
      <c r="P51" s="8"/>
      <c r="Q51" s="8"/>
    </row>
    <row r="53" spans="2:17" ht="18.75" x14ac:dyDescent="0.3">
      <c r="D53" s="4" t="s">
        <v>105</v>
      </c>
      <c r="E53" s="17">
        <f>E8+E19+E24+E29+E43+E47+E51</f>
        <v>148754.95000000001</v>
      </c>
      <c r="F53" s="17">
        <f t="shared" ref="F53:Q53" si="24">F8+F19+F24+F29+F43+F47+F51</f>
        <v>3387.6949999999993</v>
      </c>
      <c r="G53" s="17">
        <f t="shared" si="24"/>
        <v>152142.64499999999</v>
      </c>
      <c r="H53" s="17">
        <f t="shared" si="24"/>
        <v>0</v>
      </c>
      <c r="I53" s="17">
        <f t="shared" si="24"/>
        <v>18412.899999999998</v>
      </c>
      <c r="J53" s="17">
        <f t="shared" si="24"/>
        <v>0</v>
      </c>
      <c r="K53" s="17">
        <f t="shared" si="24"/>
        <v>0</v>
      </c>
      <c r="L53" s="17">
        <f t="shared" si="24"/>
        <v>15619.269749999999</v>
      </c>
      <c r="M53" s="17">
        <f t="shared" si="24"/>
        <v>34032.169750000001</v>
      </c>
      <c r="N53" s="17">
        <f t="shared" si="24"/>
        <v>118110.47525</v>
      </c>
      <c r="O53" s="17">
        <f t="shared" si="24"/>
        <v>13693.28</v>
      </c>
      <c r="P53" s="17">
        <f t="shared" si="24"/>
        <v>24544.559999999998</v>
      </c>
      <c r="Q53" s="17">
        <f t="shared" si="24"/>
        <v>38237.840000000011</v>
      </c>
    </row>
    <row r="55" spans="2:17" ht="18.75" x14ac:dyDescent="0.3">
      <c r="G55" s="20"/>
      <c r="N55" s="17"/>
    </row>
    <row r="56" spans="2:17" x14ac:dyDescent="0.25">
      <c r="C56" s="33"/>
    </row>
  </sheetData>
  <mergeCells count="1">
    <mergeCell ref="E2:Q2"/>
  </mergeCells>
  <pageMargins left="0.51181102362204722" right="0.51181102362204722" top="0.55118110236220474" bottom="0.55118110236220474" header="0.31496062992125984" footer="0.31496062992125984"/>
  <pageSetup fitToHeight="0" orientation="portrait" r:id="rId1"/>
  <ignoredErrors>
    <ignoredError sqref="M13:N13" formula="1"/>
  </ignoredError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W64"/>
  <sheetViews>
    <sheetView topLeftCell="C2" zoomScale="85" zoomScaleNormal="85" workbookViewId="0">
      <selection activeCell="R46" activeCellId="5" sqref="R7:R8 R12:R19 R23:R24 R28:R38 R42 R46"/>
    </sheetView>
  </sheetViews>
  <sheetFormatPr baseColWidth="10" defaultRowHeight="15.75" x14ac:dyDescent="0.25"/>
  <cols>
    <col min="1" max="1" width="0.7109375" customWidth="1"/>
    <col min="2" max="2" width="17.140625" customWidth="1"/>
    <col min="3" max="3" width="36.5703125" customWidth="1"/>
    <col min="4" max="4" width="28" customWidth="1"/>
    <col min="5" max="5" width="18.42578125" customWidth="1"/>
    <col min="6" max="6" width="12.7109375" customWidth="1"/>
    <col min="7" max="7" width="12.28515625" hidden="1" customWidth="1"/>
    <col min="8" max="8" width="14.140625" hidden="1" customWidth="1"/>
    <col min="9" max="9" width="13.85546875" hidden="1" customWidth="1"/>
    <col min="10" max="10" width="15.140625" hidden="1" customWidth="1"/>
    <col min="11" max="11" width="18.7109375" customWidth="1"/>
    <col min="12" max="12" width="9.42578125" customWidth="1"/>
    <col min="13" max="14" width="14.42578125" customWidth="1"/>
    <col min="15" max="15" width="11.42578125" hidden="1" customWidth="1"/>
    <col min="16" max="16" width="12.85546875" customWidth="1"/>
    <col min="17" max="17" width="16.5703125" customWidth="1"/>
    <col min="18" max="18" width="18.28515625" style="133" customWidth="1"/>
    <col min="19" max="19" width="16.140625" hidden="1" customWidth="1"/>
    <col min="20" max="20" width="16.140625" customWidth="1"/>
    <col min="21" max="21" width="14.85546875" customWidth="1"/>
    <col min="22" max="22" width="17" customWidth="1"/>
  </cols>
  <sheetData>
    <row r="3" spans="2:23" x14ac:dyDescent="0.25"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29"/>
    </row>
    <row r="4" spans="2:23" ht="16.5" customHeight="1" x14ac:dyDescent="0.25">
      <c r="B4" s="380" t="s">
        <v>245</v>
      </c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</row>
    <row r="5" spans="2:23" s="56" customFormat="1" ht="45" x14ac:dyDescent="0.25">
      <c r="B5" s="120" t="s">
        <v>9</v>
      </c>
      <c r="C5" s="119" t="s">
        <v>10</v>
      </c>
      <c r="D5" s="103" t="s">
        <v>0</v>
      </c>
      <c r="E5" s="61" t="s">
        <v>248</v>
      </c>
      <c r="F5" s="100" t="s">
        <v>247</v>
      </c>
      <c r="G5" s="117" t="s">
        <v>180</v>
      </c>
      <c r="H5" s="118" t="s">
        <v>182</v>
      </c>
      <c r="I5" s="97" t="s">
        <v>169</v>
      </c>
      <c r="J5" s="103" t="s">
        <v>246</v>
      </c>
      <c r="K5" s="103" t="s">
        <v>12</v>
      </c>
      <c r="L5" s="99" t="s">
        <v>107</v>
      </c>
      <c r="M5" s="100" t="s">
        <v>143</v>
      </c>
      <c r="N5" s="100" t="s">
        <v>13</v>
      </c>
      <c r="O5" s="101" t="s">
        <v>171</v>
      </c>
      <c r="P5" s="116" t="s">
        <v>16</v>
      </c>
      <c r="Q5" s="115" t="s">
        <v>17</v>
      </c>
      <c r="R5" s="130" t="s">
        <v>72</v>
      </c>
      <c r="S5" s="99" t="s">
        <v>8</v>
      </c>
      <c r="T5" s="99" t="s">
        <v>218</v>
      </c>
      <c r="U5" s="123" t="s">
        <v>18</v>
      </c>
      <c r="V5" s="123" t="s">
        <v>73</v>
      </c>
      <c r="W5" s="102"/>
    </row>
    <row r="6" spans="2:23" x14ac:dyDescent="0.25">
      <c r="B6" s="107" t="s">
        <v>19</v>
      </c>
      <c r="C6" s="121" t="s">
        <v>20</v>
      </c>
      <c r="D6" s="121"/>
      <c r="E6" s="95"/>
      <c r="F6" s="15"/>
      <c r="G6" s="114"/>
      <c r="H6" s="15"/>
      <c r="I6" s="95"/>
      <c r="J6" s="95"/>
      <c r="K6" s="95"/>
      <c r="L6" s="15"/>
      <c r="M6" s="15"/>
      <c r="N6" s="15"/>
      <c r="O6" s="95"/>
      <c r="P6" s="15"/>
      <c r="Q6" s="95"/>
      <c r="R6" s="129"/>
    </row>
    <row r="7" spans="2:23" ht="18.75" x14ac:dyDescent="0.3">
      <c r="B7" t="s">
        <v>21</v>
      </c>
      <c r="C7" s="269" t="s">
        <v>22</v>
      </c>
      <c r="D7" t="s">
        <v>25</v>
      </c>
      <c r="E7" s="15">
        <v>678.2</v>
      </c>
      <c r="F7" s="29">
        <v>4</v>
      </c>
      <c r="G7" s="18"/>
      <c r="H7" s="15"/>
      <c r="I7" s="15"/>
      <c r="J7" s="15"/>
      <c r="K7" s="15">
        <f>+E7*F7</f>
        <v>2712.8</v>
      </c>
      <c r="L7" s="15">
        <v>0</v>
      </c>
      <c r="M7" s="15">
        <f>203.47*F7</f>
        <v>813.88</v>
      </c>
      <c r="N7" s="15">
        <f>M7-L7</f>
        <v>813.88</v>
      </c>
      <c r="O7" s="15">
        <v>0</v>
      </c>
      <c r="P7" s="287">
        <f>E7*0.115*4-0.02</f>
        <v>311.95200000000006</v>
      </c>
      <c r="Q7" s="15">
        <f>SUM(N7:P7)+G7</f>
        <v>1125.8320000000001</v>
      </c>
      <c r="R7" s="284">
        <f>K7-Q7</f>
        <v>1586.9680000000001</v>
      </c>
      <c r="S7" s="263"/>
      <c r="T7" s="263">
        <f>+E7*17.5%*4+81.36</f>
        <v>556.1</v>
      </c>
      <c r="U7" s="288">
        <f>+E7*2%*4</f>
        <v>54.256000000000007</v>
      </c>
      <c r="V7" s="35">
        <f>SUM(S7:U7)</f>
        <v>610.35599999999999</v>
      </c>
    </row>
    <row r="8" spans="2:23" ht="18.75" x14ac:dyDescent="0.3">
      <c r="B8" t="s">
        <v>23</v>
      </c>
      <c r="C8" s="269" t="s">
        <v>24</v>
      </c>
      <c r="D8" t="s">
        <v>3</v>
      </c>
      <c r="E8" s="15">
        <v>194</v>
      </c>
      <c r="F8" s="29">
        <v>4</v>
      </c>
      <c r="G8" s="18"/>
      <c r="H8" s="15"/>
      <c r="I8" s="15"/>
      <c r="J8" s="15"/>
      <c r="K8" s="15">
        <f>+E8*F8</f>
        <v>776</v>
      </c>
      <c r="L8" s="15">
        <v>0</v>
      </c>
      <c r="M8" s="15">
        <f>34.77*F8</f>
        <v>139.08000000000001</v>
      </c>
      <c r="N8" s="15">
        <f>M8-L8</f>
        <v>139.08000000000001</v>
      </c>
      <c r="O8" s="15">
        <v>0</v>
      </c>
      <c r="P8" s="287">
        <f>E8*0.115*4</f>
        <v>89.240000000000009</v>
      </c>
      <c r="Q8" s="15">
        <f>SUM(N8:P8)+G8</f>
        <v>228.32000000000002</v>
      </c>
      <c r="R8" s="284">
        <f>K8-Q8</f>
        <v>547.67999999999995</v>
      </c>
      <c r="S8" s="263"/>
      <c r="T8" s="263">
        <f>+E8*17.5%*4+23.28</f>
        <v>159.07999999999998</v>
      </c>
      <c r="U8" s="288">
        <f>+E8*2%*4</f>
        <v>15.52</v>
      </c>
      <c r="V8" s="35">
        <f>SUM(S8:U8)</f>
        <v>174.6</v>
      </c>
    </row>
    <row r="9" spans="2:23" ht="18.75" x14ac:dyDescent="0.3">
      <c r="B9" s="7" t="s">
        <v>26</v>
      </c>
      <c r="C9" s="270"/>
      <c r="D9" s="30"/>
      <c r="E9" s="34">
        <f>SUM(E7:E8)</f>
        <v>872.2</v>
      </c>
      <c r="F9" s="34"/>
      <c r="G9" s="34">
        <f>+G8+G7</f>
        <v>0</v>
      </c>
      <c r="H9" s="34"/>
      <c r="I9" s="34">
        <f t="shared" ref="I9:V9" si="0">SUM(I7:I8)</f>
        <v>0</v>
      </c>
      <c r="J9" s="34">
        <f t="shared" si="0"/>
        <v>0</v>
      </c>
      <c r="K9" s="34">
        <f>SUM(K7:K8)</f>
        <v>3488.8</v>
      </c>
      <c r="L9" s="34">
        <f t="shared" si="0"/>
        <v>0</v>
      </c>
      <c r="M9" s="34">
        <f t="shared" si="0"/>
        <v>952.96</v>
      </c>
      <c r="N9" s="34">
        <f t="shared" si="0"/>
        <v>952.96</v>
      </c>
      <c r="O9" s="34">
        <f t="shared" si="0"/>
        <v>0</v>
      </c>
      <c r="P9" s="34">
        <f>SUM(P7:P8)</f>
        <v>401.19200000000006</v>
      </c>
      <c r="Q9" s="34">
        <f t="shared" si="0"/>
        <v>1354.152</v>
      </c>
      <c r="R9" s="264">
        <f>SUM(R7:R8)</f>
        <v>2134.6480000000001</v>
      </c>
      <c r="S9" s="34">
        <f t="shared" si="0"/>
        <v>0</v>
      </c>
      <c r="T9" s="34">
        <f t="shared" si="0"/>
        <v>715.18000000000006</v>
      </c>
      <c r="U9" s="34">
        <f>SUM(U7:U8)</f>
        <v>69.77600000000001</v>
      </c>
      <c r="V9" s="34">
        <f t="shared" si="0"/>
        <v>784.95600000000002</v>
      </c>
    </row>
    <row r="10" spans="2:23" ht="10.5" hidden="1" customHeight="1" x14ac:dyDescent="0.3">
      <c r="C10" s="133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265"/>
    </row>
    <row r="11" spans="2:23" ht="18.75" x14ac:dyDescent="0.3">
      <c r="B11" s="2" t="s">
        <v>27</v>
      </c>
      <c r="C11" s="270" t="s">
        <v>28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265"/>
    </row>
    <row r="12" spans="2:23" ht="18.75" x14ac:dyDescent="0.3">
      <c r="B12" t="s">
        <v>32</v>
      </c>
      <c r="C12" s="269" t="s">
        <v>37</v>
      </c>
      <c r="D12" t="s">
        <v>230</v>
      </c>
      <c r="E12" s="15">
        <v>400</v>
      </c>
      <c r="F12" s="29">
        <v>4</v>
      </c>
      <c r="G12" s="18"/>
      <c r="H12" s="15"/>
      <c r="I12" s="15"/>
      <c r="J12" s="15"/>
      <c r="K12" s="15">
        <f t="shared" ref="K12:K19" si="1">+E12*F12</f>
        <v>1600</v>
      </c>
      <c r="L12" s="15">
        <v>0</v>
      </c>
      <c r="M12" s="15">
        <f>85.77*F12</f>
        <v>343.08</v>
      </c>
      <c r="N12" s="15">
        <f t="shared" ref="N12:N17" si="2">M12-L12</f>
        <v>343.08</v>
      </c>
      <c r="O12" s="15">
        <v>0</v>
      </c>
      <c r="P12" s="287">
        <f t="shared" ref="P12:P19" si="3">E12*0.115*4</f>
        <v>184</v>
      </c>
      <c r="Q12" s="15">
        <f t="shared" ref="Q12:Q19" si="4">SUM(N12:P12)+G12</f>
        <v>527.07999999999993</v>
      </c>
      <c r="R12" s="284">
        <f t="shared" ref="R12:R19" si="5">K12-Q12</f>
        <v>1072.92</v>
      </c>
      <c r="S12" s="263"/>
      <c r="T12" s="263">
        <f>+E12*17.5%*4+48</f>
        <v>328</v>
      </c>
      <c r="U12" s="288">
        <f t="shared" ref="U12:U19" si="6">+E12*2%*4</f>
        <v>32</v>
      </c>
      <c r="V12" s="35">
        <f t="shared" ref="V12:V19" si="7">SUM(S12:U12)</f>
        <v>360</v>
      </c>
    </row>
    <row r="13" spans="2:23" ht="18.75" x14ac:dyDescent="0.3">
      <c r="B13" t="s">
        <v>33</v>
      </c>
      <c r="C13" s="269" t="s">
        <v>38</v>
      </c>
      <c r="D13" t="s">
        <v>232</v>
      </c>
      <c r="E13" s="15">
        <v>214</v>
      </c>
      <c r="F13" s="29">
        <v>4</v>
      </c>
      <c r="G13" s="15"/>
      <c r="H13" s="15"/>
      <c r="I13" s="77"/>
      <c r="J13" s="19"/>
      <c r="K13" s="15">
        <f t="shared" si="1"/>
        <v>856</v>
      </c>
      <c r="L13" s="15">
        <v>0</v>
      </c>
      <c r="M13" s="15">
        <f>45.71*F13</f>
        <v>182.84</v>
      </c>
      <c r="N13" s="15">
        <f t="shared" si="2"/>
        <v>182.84</v>
      </c>
      <c r="O13" s="15">
        <v>0</v>
      </c>
      <c r="P13" s="287">
        <f t="shared" si="3"/>
        <v>98.44</v>
      </c>
      <c r="Q13" s="15">
        <f>SUM(N13:P13)+G13</f>
        <v>281.27999999999997</v>
      </c>
      <c r="R13" s="284">
        <f t="shared" si="5"/>
        <v>574.72</v>
      </c>
      <c r="S13" s="263"/>
      <c r="T13" s="263">
        <f>+E13*17.5%*4+25.68</f>
        <v>175.48</v>
      </c>
      <c r="U13" s="288">
        <f t="shared" si="6"/>
        <v>17.12</v>
      </c>
      <c r="V13" s="35">
        <f t="shared" si="7"/>
        <v>192.6</v>
      </c>
    </row>
    <row r="14" spans="2:23" ht="18.75" x14ac:dyDescent="0.3">
      <c r="B14" t="s">
        <v>34</v>
      </c>
      <c r="C14" s="269" t="s">
        <v>178</v>
      </c>
      <c r="D14" t="s">
        <v>231</v>
      </c>
      <c r="E14" s="15">
        <v>214</v>
      </c>
      <c r="F14" s="29">
        <v>4</v>
      </c>
      <c r="G14" s="15"/>
      <c r="H14" s="20"/>
      <c r="I14" s="77"/>
      <c r="J14" s="19"/>
      <c r="K14" s="15">
        <f t="shared" si="1"/>
        <v>856</v>
      </c>
      <c r="L14" s="15">
        <v>0</v>
      </c>
      <c r="M14" s="15">
        <f>45.71*F14</f>
        <v>182.84</v>
      </c>
      <c r="N14" s="15">
        <f t="shared" si="2"/>
        <v>182.84</v>
      </c>
      <c r="O14" s="15">
        <v>0</v>
      </c>
      <c r="P14" s="287">
        <f t="shared" si="3"/>
        <v>98.44</v>
      </c>
      <c r="Q14" s="15">
        <f t="shared" si="4"/>
        <v>281.27999999999997</v>
      </c>
      <c r="R14" s="284">
        <f t="shared" si="5"/>
        <v>574.72</v>
      </c>
      <c r="S14" s="263"/>
      <c r="T14" s="263">
        <f>+E14*17.5%*4+25.68</f>
        <v>175.48</v>
      </c>
      <c r="U14" s="288">
        <f t="shared" si="6"/>
        <v>17.12</v>
      </c>
      <c r="V14" s="35">
        <f t="shared" si="7"/>
        <v>192.6</v>
      </c>
    </row>
    <row r="15" spans="2:23" ht="18.75" x14ac:dyDescent="0.3">
      <c r="B15" t="s">
        <v>35</v>
      </c>
      <c r="C15" s="133" t="s">
        <v>111</v>
      </c>
      <c r="D15" t="s">
        <v>77</v>
      </c>
      <c r="E15" s="15">
        <v>240</v>
      </c>
      <c r="F15" s="29">
        <v>4</v>
      </c>
      <c r="G15" s="15"/>
      <c r="H15" s="15"/>
      <c r="I15" s="15"/>
      <c r="J15" s="15"/>
      <c r="K15" s="15">
        <f t="shared" si="1"/>
        <v>960</v>
      </c>
      <c r="L15" s="15">
        <v>0</v>
      </c>
      <c r="M15" s="15">
        <f>51.27*F15</f>
        <v>205.08</v>
      </c>
      <c r="N15" s="15">
        <f t="shared" si="2"/>
        <v>205.08</v>
      </c>
      <c r="O15" s="15">
        <v>0</v>
      </c>
      <c r="P15" s="287">
        <f t="shared" si="3"/>
        <v>110.4</v>
      </c>
      <c r="Q15" s="15">
        <f t="shared" si="4"/>
        <v>315.48</v>
      </c>
      <c r="R15" s="284">
        <f t="shared" si="5"/>
        <v>644.52</v>
      </c>
      <c r="S15" s="263"/>
      <c r="T15" s="263">
        <f>+E15*17.5%*4+28.8</f>
        <v>196.8</v>
      </c>
      <c r="U15" s="288">
        <f t="shared" si="6"/>
        <v>19.2</v>
      </c>
      <c r="V15" s="35">
        <f t="shared" si="7"/>
        <v>216</v>
      </c>
    </row>
    <row r="16" spans="2:23" ht="18.75" x14ac:dyDescent="0.3">
      <c r="B16" t="s">
        <v>36</v>
      </c>
      <c r="C16" s="133" t="s">
        <v>86</v>
      </c>
      <c r="D16" t="s">
        <v>233</v>
      </c>
      <c r="E16" s="15">
        <v>180</v>
      </c>
      <c r="F16" s="29">
        <v>4</v>
      </c>
      <c r="G16" s="18"/>
      <c r="H16" s="15"/>
      <c r="I16" s="15"/>
      <c r="J16" s="15"/>
      <c r="K16" s="15">
        <f t="shared" si="1"/>
        <v>720</v>
      </c>
      <c r="L16" s="15">
        <v>0</v>
      </c>
      <c r="M16" s="15">
        <f>32.26*F16</f>
        <v>129.04</v>
      </c>
      <c r="N16" s="15">
        <f t="shared" si="2"/>
        <v>129.04</v>
      </c>
      <c r="O16" s="15">
        <v>0</v>
      </c>
      <c r="P16" s="287">
        <f t="shared" si="3"/>
        <v>82.8</v>
      </c>
      <c r="Q16" s="15">
        <f t="shared" si="4"/>
        <v>211.83999999999997</v>
      </c>
      <c r="R16" s="284">
        <f t="shared" si="5"/>
        <v>508.16</v>
      </c>
      <c r="S16" s="263"/>
      <c r="T16" s="263">
        <f>+E16*17.5%*4+21.6</f>
        <v>147.6</v>
      </c>
      <c r="U16" s="288">
        <f t="shared" si="6"/>
        <v>14.4</v>
      </c>
      <c r="V16" s="35">
        <f t="shared" si="7"/>
        <v>162</v>
      </c>
    </row>
    <row r="17" spans="2:22" ht="18.75" x14ac:dyDescent="0.3">
      <c r="B17" t="s">
        <v>115</v>
      </c>
      <c r="C17" s="133" t="s">
        <v>87</v>
      </c>
      <c r="D17" t="s">
        <v>234</v>
      </c>
      <c r="E17" s="15">
        <v>180</v>
      </c>
      <c r="F17" s="29">
        <v>4</v>
      </c>
      <c r="G17" s="18"/>
      <c r="H17" s="15"/>
      <c r="I17" s="15"/>
      <c r="J17" s="15"/>
      <c r="K17" s="15">
        <f t="shared" si="1"/>
        <v>720</v>
      </c>
      <c r="L17" s="15">
        <v>0</v>
      </c>
      <c r="M17" s="15">
        <f>32.26*F17</f>
        <v>129.04</v>
      </c>
      <c r="N17" s="15">
        <f t="shared" si="2"/>
        <v>129.04</v>
      </c>
      <c r="O17" s="15">
        <v>0</v>
      </c>
      <c r="P17" s="287">
        <f t="shared" si="3"/>
        <v>82.8</v>
      </c>
      <c r="Q17" s="15">
        <f t="shared" si="4"/>
        <v>211.83999999999997</v>
      </c>
      <c r="R17" s="284">
        <f t="shared" si="5"/>
        <v>508.16</v>
      </c>
      <c r="S17" s="263"/>
      <c r="T17" s="263">
        <f>+E17*17.5%*4+21.6</f>
        <v>147.6</v>
      </c>
      <c r="U17" s="288">
        <f t="shared" si="6"/>
        <v>14.4</v>
      </c>
      <c r="V17" s="35">
        <f t="shared" si="7"/>
        <v>162</v>
      </c>
    </row>
    <row r="18" spans="2:22" ht="18.75" x14ac:dyDescent="0.3">
      <c r="B18" t="s">
        <v>116</v>
      </c>
      <c r="C18" s="133" t="s">
        <v>89</v>
      </c>
      <c r="D18" t="s">
        <v>4</v>
      </c>
      <c r="E18" s="15">
        <v>108</v>
      </c>
      <c r="F18" s="29">
        <v>4</v>
      </c>
      <c r="G18" s="18"/>
      <c r="H18" s="15"/>
      <c r="I18" s="15"/>
      <c r="J18" s="15"/>
      <c r="K18" s="15">
        <f t="shared" si="1"/>
        <v>432</v>
      </c>
      <c r="L18" s="15"/>
      <c r="M18" s="15">
        <f>11.76*F18</f>
        <v>47.04</v>
      </c>
      <c r="N18" s="15">
        <f>+M18-L18</f>
        <v>47.04</v>
      </c>
      <c r="O18" s="15">
        <v>0</v>
      </c>
      <c r="P18" s="287">
        <f t="shared" si="3"/>
        <v>49.68</v>
      </c>
      <c r="Q18" s="15">
        <f t="shared" si="4"/>
        <v>96.72</v>
      </c>
      <c r="R18" s="284">
        <f t="shared" si="5"/>
        <v>335.28</v>
      </c>
      <c r="S18" s="263"/>
      <c r="T18" s="263">
        <f>+E18*17.5%*4+12.95</f>
        <v>88.55</v>
      </c>
      <c r="U18" s="288">
        <f t="shared" si="6"/>
        <v>8.64</v>
      </c>
      <c r="V18" s="35">
        <f t="shared" si="7"/>
        <v>97.19</v>
      </c>
    </row>
    <row r="19" spans="2:22" ht="18.75" x14ac:dyDescent="0.3">
      <c r="B19" t="s">
        <v>117</v>
      </c>
      <c r="C19" s="133" t="s">
        <v>88</v>
      </c>
      <c r="D19" t="s">
        <v>235</v>
      </c>
      <c r="E19" s="15">
        <v>126</v>
      </c>
      <c r="F19" s="29">
        <v>4</v>
      </c>
      <c r="G19" s="18"/>
      <c r="H19" s="15"/>
      <c r="I19" s="15"/>
      <c r="J19" s="15"/>
      <c r="K19" s="15">
        <f t="shared" si="1"/>
        <v>504</v>
      </c>
      <c r="L19" s="15"/>
      <c r="M19" s="15">
        <f>13.71*F19</f>
        <v>54.84</v>
      </c>
      <c r="N19" s="15">
        <f>+M19-L19</f>
        <v>54.84</v>
      </c>
      <c r="O19" s="15">
        <v>0</v>
      </c>
      <c r="P19" s="287">
        <f t="shared" si="3"/>
        <v>57.96</v>
      </c>
      <c r="Q19" s="15">
        <f t="shared" si="4"/>
        <v>112.80000000000001</v>
      </c>
      <c r="R19" s="284">
        <f t="shared" si="5"/>
        <v>391.2</v>
      </c>
      <c r="S19" s="263"/>
      <c r="T19" s="263">
        <f>+E19*17.5%*4+15.11</f>
        <v>103.30999999999999</v>
      </c>
      <c r="U19" s="288">
        <f t="shared" si="6"/>
        <v>10.08</v>
      </c>
      <c r="V19" s="35">
        <f t="shared" si="7"/>
        <v>113.38999999999999</v>
      </c>
    </row>
    <row r="20" spans="2:22" ht="18.75" x14ac:dyDescent="0.3">
      <c r="B20" s="2" t="s">
        <v>26</v>
      </c>
      <c r="C20" s="270"/>
      <c r="D20" s="30"/>
      <c r="E20" s="34">
        <f>SUM(E12:E19)</f>
        <v>1662</v>
      </c>
      <c r="F20" s="34"/>
      <c r="G20" s="34">
        <f>+G19+G18+G17+G16+G12</f>
        <v>0</v>
      </c>
      <c r="H20" s="34"/>
      <c r="I20" s="34">
        <f t="shared" ref="I20:V20" si="8">SUM(I12:I19)</f>
        <v>0</v>
      </c>
      <c r="J20" s="34">
        <f t="shared" si="8"/>
        <v>0</v>
      </c>
      <c r="K20" s="34">
        <f>SUM(K12:K19)</f>
        <v>6648</v>
      </c>
      <c r="L20" s="34">
        <f t="shared" si="8"/>
        <v>0</v>
      </c>
      <c r="M20" s="34">
        <f t="shared" si="8"/>
        <v>1273.8</v>
      </c>
      <c r="N20" s="34">
        <f t="shared" si="8"/>
        <v>1273.8</v>
      </c>
      <c r="O20" s="34">
        <f t="shared" si="8"/>
        <v>0</v>
      </c>
      <c r="P20" s="34">
        <f>SUM(P12:P19)</f>
        <v>764.51999999999987</v>
      </c>
      <c r="Q20" s="34">
        <f t="shared" si="8"/>
        <v>2038.3199999999997</v>
      </c>
      <c r="R20" s="264">
        <f>SUM(R12:R19)</f>
        <v>4609.6799999999994</v>
      </c>
      <c r="S20" s="34">
        <f t="shared" si="8"/>
        <v>0</v>
      </c>
      <c r="T20" s="34">
        <f t="shared" si="8"/>
        <v>1362.82</v>
      </c>
      <c r="U20" s="34">
        <f>SUM(U12:U19)</f>
        <v>132.96000000000004</v>
      </c>
      <c r="V20" s="34">
        <f t="shared" si="8"/>
        <v>1495.7800000000002</v>
      </c>
    </row>
    <row r="21" spans="2:22" ht="18.75" hidden="1" x14ac:dyDescent="0.3">
      <c r="B21" s="2"/>
      <c r="C21" s="133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265"/>
    </row>
    <row r="22" spans="2:22" ht="18.75" x14ac:dyDescent="0.3">
      <c r="B22" s="2" t="s">
        <v>50</v>
      </c>
      <c r="C22" s="270" t="s">
        <v>160</v>
      </c>
      <c r="E22" s="15"/>
      <c r="F22" s="15"/>
      <c r="G22" s="15"/>
      <c r="H22" s="15"/>
      <c r="I22" s="15"/>
      <c r="J22" s="15"/>
      <c r="K22" s="113"/>
      <c r="L22" s="113"/>
      <c r="M22" s="15"/>
      <c r="N22" s="15"/>
      <c r="O22" s="15"/>
      <c r="P22" s="15"/>
      <c r="Q22" s="15"/>
      <c r="R22" s="265"/>
    </row>
    <row r="23" spans="2:22" ht="18.75" x14ac:dyDescent="0.3">
      <c r="B23" t="s">
        <v>120</v>
      </c>
      <c r="C23" s="133" t="s">
        <v>93</v>
      </c>
      <c r="D23" t="s">
        <v>238</v>
      </c>
      <c r="E23" s="15">
        <v>214</v>
      </c>
      <c r="F23" s="29">
        <v>4</v>
      </c>
      <c r="G23" s="18"/>
      <c r="H23" s="15"/>
      <c r="I23" s="71"/>
      <c r="J23" s="15"/>
      <c r="K23" s="15">
        <f>+E23*F23</f>
        <v>856</v>
      </c>
      <c r="L23" s="15">
        <v>0</v>
      </c>
      <c r="M23" s="15">
        <f>45.71*F23</f>
        <v>182.84</v>
      </c>
      <c r="N23" s="15">
        <f>M23-L23</f>
        <v>182.84</v>
      </c>
      <c r="O23" s="15">
        <v>0</v>
      </c>
      <c r="P23" s="287">
        <f>E23*0.115*4</f>
        <v>98.44</v>
      </c>
      <c r="Q23" s="15">
        <f>SUM(N23:P23)+G23</f>
        <v>281.27999999999997</v>
      </c>
      <c r="R23" s="284">
        <f>K23-Q23</f>
        <v>574.72</v>
      </c>
      <c r="S23" s="263"/>
      <c r="T23" s="263">
        <f>+E23*17.5%*4+25.68</f>
        <v>175.48</v>
      </c>
      <c r="U23" s="288">
        <f>+E23*2%*4</f>
        <v>17.12</v>
      </c>
      <c r="V23" s="35">
        <f>SUM(S23:U23)</f>
        <v>192.6</v>
      </c>
    </row>
    <row r="24" spans="2:22" ht="18.75" x14ac:dyDescent="0.3">
      <c r="B24" t="s">
        <v>121</v>
      </c>
      <c r="C24" s="133" t="s">
        <v>114</v>
      </c>
      <c r="D24" t="s">
        <v>237</v>
      </c>
      <c r="E24" s="15">
        <v>214</v>
      </c>
      <c r="F24" s="29">
        <v>4</v>
      </c>
      <c r="G24" s="18"/>
      <c r="H24" s="15"/>
      <c r="I24" s="77"/>
      <c r="J24" s="15"/>
      <c r="K24" s="15">
        <f>+E24*F24</f>
        <v>856</v>
      </c>
      <c r="L24" s="15">
        <v>0</v>
      </c>
      <c r="M24" s="15">
        <f>45.71*F24</f>
        <v>182.84</v>
      </c>
      <c r="N24" s="15">
        <f>M24-L24</f>
        <v>182.84</v>
      </c>
      <c r="O24" s="15">
        <v>0</v>
      </c>
      <c r="P24" s="287">
        <f>E24*0.115*4</f>
        <v>98.44</v>
      </c>
      <c r="Q24" s="15">
        <f>SUM(N24:P24)+G24</f>
        <v>281.27999999999997</v>
      </c>
      <c r="R24" s="284">
        <f>K24-Q24</f>
        <v>574.72</v>
      </c>
      <c r="S24" s="263"/>
      <c r="T24" s="263">
        <f>+E24*17.5%*4+25.68</f>
        <v>175.48</v>
      </c>
      <c r="U24" s="288">
        <f>+E24*2%*4</f>
        <v>17.12</v>
      </c>
      <c r="V24" s="35">
        <f>SUM(S24:U24)</f>
        <v>192.6</v>
      </c>
    </row>
    <row r="25" spans="2:22" ht="18.75" x14ac:dyDescent="0.3">
      <c r="B25" s="2" t="s">
        <v>26</v>
      </c>
      <c r="C25" s="270"/>
      <c r="D25" s="30"/>
      <c r="E25" s="34">
        <f>SUM(E23:E24)</f>
        <v>428</v>
      </c>
      <c r="F25" s="34"/>
      <c r="G25" s="34">
        <f>+G24+G23</f>
        <v>0</v>
      </c>
      <c r="H25" s="34"/>
      <c r="I25" s="34">
        <f t="shared" ref="I25:V25" si="9">SUM(I23:I24)</f>
        <v>0</v>
      </c>
      <c r="J25" s="34">
        <f t="shared" si="9"/>
        <v>0</v>
      </c>
      <c r="K25" s="34">
        <f t="shared" si="9"/>
        <v>1712</v>
      </c>
      <c r="L25" s="34">
        <f t="shared" si="9"/>
        <v>0</v>
      </c>
      <c r="M25" s="34">
        <f t="shared" si="9"/>
        <v>365.68</v>
      </c>
      <c r="N25" s="34">
        <f t="shared" si="9"/>
        <v>365.68</v>
      </c>
      <c r="O25" s="34">
        <f t="shared" si="9"/>
        <v>0</v>
      </c>
      <c r="P25" s="34">
        <f>SUM(P23:P24)</f>
        <v>196.88</v>
      </c>
      <c r="Q25" s="34">
        <f t="shared" si="9"/>
        <v>562.55999999999995</v>
      </c>
      <c r="R25" s="264">
        <f>SUM(R23:R24)</f>
        <v>1149.44</v>
      </c>
      <c r="S25" s="34">
        <f t="shared" si="9"/>
        <v>0</v>
      </c>
      <c r="T25" s="34">
        <f t="shared" si="9"/>
        <v>350.96</v>
      </c>
      <c r="U25" s="34">
        <f>SUM(U23:U24)</f>
        <v>34.24</v>
      </c>
      <c r="V25" s="34">
        <f t="shared" si="9"/>
        <v>385.2</v>
      </c>
    </row>
    <row r="26" spans="2:22" ht="18.75" hidden="1" x14ac:dyDescent="0.3">
      <c r="C26" s="133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265"/>
    </row>
    <row r="27" spans="2:22" ht="18.75" x14ac:dyDescent="0.3">
      <c r="B27" s="2" t="s">
        <v>63</v>
      </c>
      <c r="C27" s="270" t="s">
        <v>51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265"/>
    </row>
    <row r="28" spans="2:22" ht="18.75" x14ac:dyDescent="0.3">
      <c r="B28" t="s">
        <v>122</v>
      </c>
      <c r="C28" s="133" t="s">
        <v>97</v>
      </c>
      <c r="D28" t="s">
        <v>80</v>
      </c>
      <c r="E28" s="15">
        <v>214</v>
      </c>
      <c r="F28" s="29">
        <v>4</v>
      </c>
      <c r="G28" s="15"/>
      <c r="H28" s="15"/>
      <c r="I28" s="71"/>
      <c r="J28" s="15"/>
      <c r="K28" s="15">
        <f>+E28*F28</f>
        <v>856</v>
      </c>
      <c r="L28" s="15">
        <v>0</v>
      </c>
      <c r="M28" s="15">
        <f>45.71*F28</f>
        <v>182.84</v>
      </c>
      <c r="N28" s="15">
        <f>M28-L28</f>
        <v>182.84</v>
      </c>
      <c r="O28" s="15">
        <v>0</v>
      </c>
      <c r="P28" s="287">
        <f t="shared" ref="P28:P38" si="10">E28*0.115*4</f>
        <v>98.44</v>
      </c>
      <c r="Q28" s="15">
        <f t="shared" ref="Q28:Q38" si="11">SUM(N28:P28)+G28</f>
        <v>281.27999999999997</v>
      </c>
      <c r="R28" s="284">
        <f t="shared" ref="R28:R38" si="12">K28-Q28</f>
        <v>574.72</v>
      </c>
      <c r="S28" s="263"/>
      <c r="T28" s="263">
        <f>+E28*17.5%*4+25.68</f>
        <v>175.48</v>
      </c>
      <c r="U28" s="288">
        <f t="shared" ref="U28:U38" si="13">+E28*2%*4</f>
        <v>17.12</v>
      </c>
      <c r="V28" s="35">
        <f>SUM(S28:U28)</f>
        <v>192.6</v>
      </c>
    </row>
    <row r="29" spans="2:22" ht="18.75" x14ac:dyDescent="0.3">
      <c r="B29" t="s">
        <v>123</v>
      </c>
      <c r="C29" s="133" t="s">
        <v>100</v>
      </c>
      <c r="D29" t="s">
        <v>80</v>
      </c>
      <c r="E29" s="15">
        <v>214</v>
      </c>
      <c r="F29" s="29">
        <v>4</v>
      </c>
      <c r="G29" s="18"/>
      <c r="H29" s="15"/>
      <c r="I29" s="77"/>
      <c r="J29" s="20"/>
      <c r="K29" s="15">
        <f>+E29*F29</f>
        <v>856</v>
      </c>
      <c r="L29" s="20">
        <v>0</v>
      </c>
      <c r="M29" s="15">
        <f>45.71*F29</f>
        <v>182.84</v>
      </c>
      <c r="N29" s="15">
        <f t="shared" ref="N29:N38" si="14">M29-L29</f>
        <v>182.84</v>
      </c>
      <c r="O29" s="15">
        <v>0</v>
      </c>
      <c r="P29" s="287">
        <f t="shared" si="10"/>
        <v>98.44</v>
      </c>
      <c r="Q29" s="15">
        <f t="shared" si="11"/>
        <v>281.27999999999997</v>
      </c>
      <c r="R29" s="284">
        <f t="shared" si="12"/>
        <v>574.72</v>
      </c>
      <c r="S29" s="263"/>
      <c r="T29" s="263">
        <f>+E29*17.5%*4+25.68</f>
        <v>175.48</v>
      </c>
      <c r="U29" s="288">
        <f t="shared" si="13"/>
        <v>17.12</v>
      </c>
      <c r="V29" s="35">
        <f>SUM(S29:U29)</f>
        <v>192.6</v>
      </c>
    </row>
    <row r="30" spans="2:22" ht="18.75" x14ac:dyDescent="0.3">
      <c r="B30" t="s">
        <v>124</v>
      </c>
      <c r="C30" s="133" t="s">
        <v>96</v>
      </c>
      <c r="D30" t="s">
        <v>239</v>
      </c>
      <c r="E30" s="15">
        <v>890</v>
      </c>
      <c r="F30" s="29">
        <v>4</v>
      </c>
      <c r="G30" s="15"/>
      <c r="H30" s="15"/>
      <c r="I30" s="15"/>
      <c r="J30" s="15"/>
      <c r="K30" s="15">
        <f t="shared" ref="K30:K38" si="15">+E30*F30</f>
        <v>3560</v>
      </c>
      <c r="L30" s="15">
        <v>0</v>
      </c>
      <c r="M30" s="15">
        <f>190.11*F30</f>
        <v>760.44</v>
      </c>
      <c r="N30" s="15">
        <f t="shared" si="14"/>
        <v>760.44</v>
      </c>
      <c r="O30" s="15">
        <v>0</v>
      </c>
      <c r="P30" s="287">
        <f t="shared" si="10"/>
        <v>409.40000000000003</v>
      </c>
      <c r="Q30" s="15">
        <f t="shared" si="11"/>
        <v>1169.8400000000001</v>
      </c>
      <c r="R30" s="284">
        <f t="shared" si="12"/>
        <v>2390.16</v>
      </c>
      <c r="S30" s="263"/>
      <c r="T30" s="263">
        <f>+E30*17.5%*4+106.8</f>
        <v>729.8</v>
      </c>
      <c r="U30" s="288">
        <f t="shared" si="13"/>
        <v>71.2</v>
      </c>
      <c r="V30" s="35">
        <f t="shared" ref="V30" si="16">SUM(S30:U30)</f>
        <v>801</v>
      </c>
    </row>
    <row r="31" spans="2:22" ht="18.75" x14ac:dyDescent="0.3">
      <c r="B31" t="s">
        <v>125</v>
      </c>
      <c r="C31" s="133" t="s">
        <v>104</v>
      </c>
      <c r="D31" t="s">
        <v>222</v>
      </c>
      <c r="E31" s="15">
        <v>214</v>
      </c>
      <c r="F31" s="29">
        <v>4</v>
      </c>
      <c r="G31" s="265"/>
      <c r="H31" s="15"/>
      <c r="I31" s="20"/>
      <c r="J31" s="20"/>
      <c r="K31" s="15">
        <f t="shared" si="15"/>
        <v>856</v>
      </c>
      <c r="L31" s="20">
        <v>0</v>
      </c>
      <c r="M31" s="15">
        <f t="shared" ref="M31:M38" si="17">45.71*F31</f>
        <v>182.84</v>
      </c>
      <c r="N31" s="15">
        <f t="shared" si="14"/>
        <v>182.84</v>
      </c>
      <c r="O31" s="15">
        <v>0</v>
      </c>
      <c r="P31" s="287">
        <f t="shared" si="10"/>
        <v>98.44</v>
      </c>
      <c r="Q31" s="15">
        <f t="shared" si="11"/>
        <v>281.27999999999997</v>
      </c>
      <c r="R31" s="284">
        <f t="shared" si="12"/>
        <v>574.72</v>
      </c>
      <c r="S31" s="263"/>
      <c r="T31" s="263">
        <f>+E31*17.5%*4+25.68</f>
        <v>175.48</v>
      </c>
      <c r="U31" s="288">
        <f t="shared" si="13"/>
        <v>17.12</v>
      </c>
      <c r="V31" s="35">
        <f t="shared" ref="V31:V38" si="18">SUM(S31:U31)</f>
        <v>192.6</v>
      </c>
    </row>
    <row r="32" spans="2:22" ht="18.75" x14ac:dyDescent="0.3">
      <c r="B32" t="s">
        <v>126</v>
      </c>
      <c r="C32" s="133" t="s">
        <v>94</v>
      </c>
      <c r="D32" t="s">
        <v>240</v>
      </c>
      <c r="E32" s="15">
        <v>214</v>
      </c>
      <c r="F32" s="29">
        <v>4</v>
      </c>
      <c r="G32" s="18"/>
      <c r="H32" s="15"/>
      <c r="I32" s="77"/>
      <c r="J32" s="20"/>
      <c r="K32" s="15">
        <f t="shared" si="15"/>
        <v>856</v>
      </c>
      <c r="L32" s="20">
        <v>0</v>
      </c>
      <c r="M32" s="15">
        <f t="shared" si="17"/>
        <v>182.84</v>
      </c>
      <c r="N32" s="15">
        <f t="shared" si="14"/>
        <v>182.84</v>
      </c>
      <c r="O32" s="15">
        <v>0</v>
      </c>
      <c r="P32" s="287">
        <f t="shared" si="10"/>
        <v>98.44</v>
      </c>
      <c r="Q32" s="15">
        <f t="shared" si="11"/>
        <v>281.27999999999997</v>
      </c>
      <c r="R32" s="284">
        <f t="shared" si="12"/>
        <v>574.72</v>
      </c>
      <c r="S32" s="263"/>
      <c r="T32" s="263">
        <f>+E32*17.5%*4+25.68</f>
        <v>175.48</v>
      </c>
      <c r="U32" s="288">
        <f t="shared" si="13"/>
        <v>17.12</v>
      </c>
      <c r="V32" s="35">
        <f t="shared" si="18"/>
        <v>192.6</v>
      </c>
    </row>
    <row r="33" spans="2:22" ht="18.75" x14ac:dyDescent="0.3">
      <c r="B33" t="s">
        <v>127</v>
      </c>
      <c r="C33" s="133" t="s">
        <v>98</v>
      </c>
      <c r="D33" t="s">
        <v>240</v>
      </c>
      <c r="E33" s="15">
        <v>214</v>
      </c>
      <c r="F33" s="29">
        <v>4</v>
      </c>
      <c r="G33" s="15"/>
      <c r="H33" s="20"/>
      <c r="I33" s="15"/>
      <c r="J33" s="20"/>
      <c r="K33" s="15">
        <f t="shared" si="15"/>
        <v>856</v>
      </c>
      <c r="L33" s="20">
        <v>0</v>
      </c>
      <c r="M33" s="15">
        <f t="shared" si="17"/>
        <v>182.84</v>
      </c>
      <c r="N33" s="15">
        <f t="shared" si="14"/>
        <v>182.84</v>
      </c>
      <c r="O33" s="15">
        <v>0</v>
      </c>
      <c r="P33" s="287">
        <f t="shared" si="10"/>
        <v>98.44</v>
      </c>
      <c r="Q33" s="15">
        <f t="shared" si="11"/>
        <v>281.27999999999997</v>
      </c>
      <c r="R33" s="284">
        <f t="shared" si="12"/>
        <v>574.72</v>
      </c>
      <c r="S33" s="263"/>
      <c r="T33" s="263">
        <f>+E33*17.5%*4+25.68</f>
        <v>175.48</v>
      </c>
      <c r="U33" s="288">
        <f t="shared" si="13"/>
        <v>17.12</v>
      </c>
      <c r="V33" s="35">
        <f t="shared" si="18"/>
        <v>192.6</v>
      </c>
    </row>
    <row r="34" spans="2:22" ht="18.75" x14ac:dyDescent="0.3">
      <c r="B34" t="s">
        <v>128</v>
      </c>
      <c r="C34" s="133" t="s">
        <v>101</v>
      </c>
      <c r="D34" t="s">
        <v>240</v>
      </c>
      <c r="E34" s="15">
        <v>214</v>
      </c>
      <c r="F34" s="29">
        <v>4</v>
      </c>
      <c r="G34" s="15"/>
      <c r="H34" s="15"/>
      <c r="I34" s="77"/>
      <c r="J34" s="20"/>
      <c r="K34" s="15">
        <f t="shared" si="15"/>
        <v>856</v>
      </c>
      <c r="L34" s="20">
        <v>0</v>
      </c>
      <c r="M34" s="15">
        <f t="shared" si="17"/>
        <v>182.84</v>
      </c>
      <c r="N34" s="15">
        <f t="shared" si="14"/>
        <v>182.84</v>
      </c>
      <c r="O34" s="15">
        <v>0</v>
      </c>
      <c r="P34" s="287">
        <f t="shared" si="10"/>
        <v>98.44</v>
      </c>
      <c r="Q34" s="15">
        <f t="shared" si="11"/>
        <v>281.27999999999997</v>
      </c>
      <c r="R34" s="284">
        <f t="shared" si="12"/>
        <v>574.72</v>
      </c>
      <c r="S34" s="263"/>
      <c r="T34" s="263">
        <v>175.48</v>
      </c>
      <c r="U34" s="288">
        <f t="shared" si="13"/>
        <v>17.12</v>
      </c>
      <c r="V34" s="35">
        <f t="shared" si="18"/>
        <v>192.6</v>
      </c>
    </row>
    <row r="35" spans="2:22" ht="18.75" x14ac:dyDescent="0.3">
      <c r="B35" t="s">
        <v>129</v>
      </c>
      <c r="C35" s="133" t="s">
        <v>95</v>
      </c>
      <c r="D35" t="s">
        <v>241</v>
      </c>
      <c r="E35" s="15">
        <v>214</v>
      </c>
      <c r="F35" s="29">
        <v>4</v>
      </c>
      <c r="G35" s="18"/>
      <c r="H35" s="15"/>
      <c r="I35" s="77"/>
      <c r="J35" s="15"/>
      <c r="K35" s="15">
        <f t="shared" si="15"/>
        <v>856</v>
      </c>
      <c r="L35" s="15">
        <v>0</v>
      </c>
      <c r="M35" s="15">
        <f t="shared" si="17"/>
        <v>182.84</v>
      </c>
      <c r="N35" s="15">
        <f t="shared" si="14"/>
        <v>182.84</v>
      </c>
      <c r="O35" s="15">
        <v>0</v>
      </c>
      <c r="P35" s="287">
        <f t="shared" si="10"/>
        <v>98.44</v>
      </c>
      <c r="Q35" s="15">
        <f t="shared" si="11"/>
        <v>281.27999999999997</v>
      </c>
      <c r="R35" s="284">
        <f t="shared" si="12"/>
        <v>574.72</v>
      </c>
      <c r="S35" s="263"/>
      <c r="T35" s="263">
        <f>+E35*17.5%*4+25.68</f>
        <v>175.48</v>
      </c>
      <c r="U35" s="288">
        <f t="shared" si="13"/>
        <v>17.12</v>
      </c>
      <c r="V35" s="35">
        <f t="shared" si="18"/>
        <v>192.6</v>
      </c>
    </row>
    <row r="36" spans="2:22" ht="18.75" x14ac:dyDescent="0.3">
      <c r="B36" t="s">
        <v>130</v>
      </c>
      <c r="C36" s="133" t="s">
        <v>102</v>
      </c>
      <c r="D36" t="s">
        <v>241</v>
      </c>
      <c r="E36" s="15">
        <v>214</v>
      </c>
      <c r="F36" s="29">
        <v>4</v>
      </c>
      <c r="G36" s="20"/>
      <c r="H36" s="15"/>
      <c r="I36" s="77"/>
      <c r="J36" s="15"/>
      <c r="K36" s="15">
        <f t="shared" si="15"/>
        <v>856</v>
      </c>
      <c r="L36" s="15">
        <v>0</v>
      </c>
      <c r="M36" s="15">
        <f t="shared" si="17"/>
        <v>182.84</v>
      </c>
      <c r="N36" s="15">
        <f t="shared" si="14"/>
        <v>182.84</v>
      </c>
      <c r="O36" s="15">
        <v>0</v>
      </c>
      <c r="P36" s="287">
        <f t="shared" si="10"/>
        <v>98.44</v>
      </c>
      <c r="Q36" s="15">
        <f t="shared" si="11"/>
        <v>281.27999999999997</v>
      </c>
      <c r="R36" s="284">
        <f t="shared" si="12"/>
        <v>574.72</v>
      </c>
      <c r="S36" s="263"/>
      <c r="T36" s="263">
        <f>+E36*17.5%*4+25.68</f>
        <v>175.48</v>
      </c>
      <c r="U36" s="288">
        <f t="shared" si="13"/>
        <v>17.12</v>
      </c>
      <c r="V36" s="35">
        <f t="shared" si="18"/>
        <v>192.6</v>
      </c>
    </row>
    <row r="37" spans="2:22" ht="18.75" x14ac:dyDescent="0.3">
      <c r="B37" t="s">
        <v>131</v>
      </c>
      <c r="C37" s="133" t="s">
        <v>85</v>
      </c>
      <c r="D37" t="s">
        <v>242</v>
      </c>
      <c r="E37" s="15">
        <v>214</v>
      </c>
      <c r="F37" s="29">
        <v>4</v>
      </c>
      <c r="G37" s="18"/>
      <c r="H37" s="15"/>
      <c r="I37" s="77"/>
      <c r="J37" s="15"/>
      <c r="K37" s="15">
        <f t="shared" si="15"/>
        <v>856</v>
      </c>
      <c r="L37" s="15">
        <v>0</v>
      </c>
      <c r="M37" s="15">
        <f t="shared" si="17"/>
        <v>182.84</v>
      </c>
      <c r="N37" s="15">
        <f t="shared" si="14"/>
        <v>182.84</v>
      </c>
      <c r="O37" s="15">
        <v>0</v>
      </c>
      <c r="P37" s="287">
        <f t="shared" si="10"/>
        <v>98.44</v>
      </c>
      <c r="Q37" s="15">
        <f t="shared" si="11"/>
        <v>281.27999999999997</v>
      </c>
      <c r="R37" s="284">
        <f t="shared" si="12"/>
        <v>574.72</v>
      </c>
      <c r="S37" s="263"/>
      <c r="T37" s="263">
        <f>+E37*17.5%*4+25.68</f>
        <v>175.48</v>
      </c>
      <c r="U37" s="288">
        <f t="shared" si="13"/>
        <v>17.12</v>
      </c>
      <c r="V37" s="35">
        <f t="shared" si="18"/>
        <v>192.6</v>
      </c>
    </row>
    <row r="38" spans="2:22" ht="18.75" x14ac:dyDescent="0.3">
      <c r="B38" t="s">
        <v>132</v>
      </c>
      <c r="C38" s="133" t="s">
        <v>103</v>
      </c>
      <c r="D38" t="s">
        <v>242</v>
      </c>
      <c r="E38" s="15">
        <v>214</v>
      </c>
      <c r="F38" s="29">
        <v>4</v>
      </c>
      <c r="G38" s="20"/>
      <c r="H38" s="15"/>
      <c r="I38" s="77"/>
      <c r="J38" s="15"/>
      <c r="K38" s="15">
        <f t="shared" si="15"/>
        <v>856</v>
      </c>
      <c r="L38" s="15">
        <v>0</v>
      </c>
      <c r="M38" s="15">
        <f t="shared" si="17"/>
        <v>182.84</v>
      </c>
      <c r="N38" s="15">
        <f t="shared" si="14"/>
        <v>182.84</v>
      </c>
      <c r="O38" s="15">
        <v>0</v>
      </c>
      <c r="P38" s="287">
        <f t="shared" si="10"/>
        <v>98.44</v>
      </c>
      <c r="Q38" s="15">
        <f t="shared" si="11"/>
        <v>281.27999999999997</v>
      </c>
      <c r="R38" s="284">
        <f t="shared" si="12"/>
        <v>574.72</v>
      </c>
      <c r="S38" s="263"/>
      <c r="T38" s="263">
        <f>+E38*17.5%*4+25.68</f>
        <v>175.48</v>
      </c>
      <c r="U38" s="288">
        <f t="shared" si="13"/>
        <v>17.12</v>
      </c>
      <c r="V38" s="35">
        <f t="shared" si="18"/>
        <v>192.6</v>
      </c>
    </row>
    <row r="39" spans="2:22" ht="18.75" x14ac:dyDescent="0.3">
      <c r="B39" s="2" t="s">
        <v>26</v>
      </c>
      <c r="C39" s="270"/>
      <c r="D39" s="30"/>
      <c r="E39" s="34">
        <f>SUM(E28:E38)</f>
        <v>3030</v>
      </c>
      <c r="F39" s="34"/>
      <c r="G39" s="34">
        <f>+G38+G37+G36+G35+G34+G33+G32+G29</f>
        <v>0</v>
      </c>
      <c r="H39" s="34"/>
      <c r="I39" s="34">
        <f>SUM(I28:I38)</f>
        <v>0</v>
      </c>
      <c r="J39" s="34">
        <f>SUM(J28:J38)</f>
        <v>0</v>
      </c>
      <c r="K39" s="34">
        <f>SUM(K28:K38)</f>
        <v>12120</v>
      </c>
      <c r="L39" s="34">
        <f t="shared" ref="L39:Q39" si="19">SUM(L28:L38)</f>
        <v>0</v>
      </c>
      <c r="M39" s="34">
        <f t="shared" si="19"/>
        <v>2588.84</v>
      </c>
      <c r="N39" s="34">
        <f t="shared" si="19"/>
        <v>2588.84</v>
      </c>
      <c r="O39" s="34">
        <f t="shared" si="19"/>
        <v>0</v>
      </c>
      <c r="P39" s="34">
        <f>SUM(P28:P38)</f>
        <v>1393.8000000000004</v>
      </c>
      <c r="Q39" s="34">
        <f t="shared" si="19"/>
        <v>3982.6399999999985</v>
      </c>
      <c r="R39" s="264">
        <f>SUM(R28:R38)</f>
        <v>8137.3600000000015</v>
      </c>
      <c r="S39" s="34">
        <f>SUM(S28:S38)</f>
        <v>0</v>
      </c>
      <c r="T39" s="34">
        <f>SUM(T28:T38)</f>
        <v>2484.6</v>
      </c>
      <c r="U39" s="34">
        <f>SUM(U28:U38)</f>
        <v>242.40000000000003</v>
      </c>
      <c r="V39" s="34">
        <f>SUM(V28:V38)</f>
        <v>2726.9999999999995</v>
      </c>
    </row>
    <row r="40" spans="2:22" ht="18.75" hidden="1" x14ac:dyDescent="0.3">
      <c r="C40" s="133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265"/>
    </row>
    <row r="41" spans="2:22" ht="18.75" x14ac:dyDescent="0.3">
      <c r="B41" s="2" t="s">
        <v>140</v>
      </c>
      <c r="C41" s="270" t="s">
        <v>64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265"/>
    </row>
    <row r="42" spans="2:22" ht="18.75" x14ac:dyDescent="0.3">
      <c r="B42" t="s">
        <v>152</v>
      </c>
      <c r="C42" s="133" t="s">
        <v>92</v>
      </c>
      <c r="D42" t="s">
        <v>244</v>
      </c>
      <c r="E42" s="15">
        <v>214</v>
      </c>
      <c r="F42" s="29">
        <v>4</v>
      </c>
      <c r="G42" s="15"/>
      <c r="H42" s="15"/>
      <c r="I42" s="77"/>
      <c r="J42" s="15"/>
      <c r="K42" s="15">
        <f t="shared" ref="K42" si="20">+E42*F42</f>
        <v>856</v>
      </c>
      <c r="L42" s="15">
        <v>0</v>
      </c>
      <c r="M42" s="15">
        <f>45.71*F42</f>
        <v>182.84</v>
      </c>
      <c r="N42" s="15">
        <f>+M42</f>
        <v>182.84</v>
      </c>
      <c r="O42" s="15">
        <v>0</v>
      </c>
      <c r="P42" s="287">
        <f>E42*0.115*4</f>
        <v>98.44</v>
      </c>
      <c r="Q42" s="15">
        <f>SUM(N42:P42)+G42</f>
        <v>281.27999999999997</v>
      </c>
      <c r="R42" s="284">
        <f>K42-Q42</f>
        <v>574.72</v>
      </c>
      <c r="S42" s="263"/>
      <c r="T42" s="263">
        <f>+E42*17.5%*4+25.68</f>
        <v>175.48</v>
      </c>
      <c r="U42" s="288">
        <f>+E42*2%*4</f>
        <v>17.12</v>
      </c>
      <c r="V42" s="35">
        <f t="shared" ref="V42" si="21">SUM(S42:U42)</f>
        <v>192.6</v>
      </c>
    </row>
    <row r="43" spans="2:22" x14ac:dyDescent="0.25">
      <c r="B43" s="2" t="s">
        <v>26</v>
      </c>
      <c r="C43" s="270"/>
      <c r="D43" s="30"/>
      <c r="E43" s="34">
        <f t="shared" ref="E43" si="22">+E42</f>
        <v>214</v>
      </c>
      <c r="F43" s="34">
        <f t="shared" ref="F43" si="23">+F42</f>
        <v>4</v>
      </c>
      <c r="G43" s="34">
        <f t="shared" ref="G43" si="24">+G42</f>
        <v>0</v>
      </c>
      <c r="H43" s="34">
        <f t="shared" ref="H43" si="25">+H42</f>
        <v>0</v>
      </c>
      <c r="I43" s="34">
        <f t="shared" ref="I43" si="26">+I42</f>
        <v>0</v>
      </c>
      <c r="J43" s="34">
        <f t="shared" ref="J43:V43" si="27">+J42</f>
        <v>0</v>
      </c>
      <c r="K43" s="34">
        <f>+K42</f>
        <v>856</v>
      </c>
      <c r="L43" s="34">
        <f t="shared" si="27"/>
        <v>0</v>
      </c>
      <c r="M43" s="34">
        <f t="shared" si="27"/>
        <v>182.84</v>
      </c>
      <c r="N43" s="34">
        <f t="shared" si="27"/>
        <v>182.84</v>
      </c>
      <c r="O43" s="34">
        <f t="shared" si="27"/>
        <v>0</v>
      </c>
      <c r="P43" s="34">
        <f>+P42</f>
        <v>98.44</v>
      </c>
      <c r="Q43" s="34">
        <f t="shared" si="27"/>
        <v>281.27999999999997</v>
      </c>
      <c r="R43" s="34">
        <f>+R42</f>
        <v>574.72</v>
      </c>
      <c r="S43" s="34">
        <f t="shared" si="27"/>
        <v>0</v>
      </c>
      <c r="T43" s="34">
        <f t="shared" si="27"/>
        <v>175.48</v>
      </c>
      <c r="U43" s="34">
        <f>+U42</f>
        <v>17.12</v>
      </c>
      <c r="V43" s="34">
        <f t="shared" si="27"/>
        <v>192.6</v>
      </c>
    </row>
    <row r="44" spans="2:22" ht="18.75" hidden="1" x14ac:dyDescent="0.3">
      <c r="B44" s="2"/>
      <c r="C44" s="133"/>
      <c r="E44" s="15"/>
      <c r="F44" s="15"/>
      <c r="G44" s="15"/>
      <c r="H44" s="15"/>
      <c r="I44" s="15"/>
      <c r="J44" s="15"/>
      <c r="K44" s="16"/>
      <c r="L44" s="16"/>
      <c r="M44" s="16"/>
      <c r="N44" s="16"/>
      <c r="O44" s="16"/>
      <c r="P44" s="16"/>
      <c r="Q44" s="16"/>
      <c r="R44" s="267"/>
      <c r="S44" s="8"/>
      <c r="T44" s="8"/>
      <c r="U44" s="8"/>
      <c r="V44" s="8"/>
    </row>
    <row r="45" spans="2:22" ht="18.75" x14ac:dyDescent="0.3">
      <c r="B45" s="2" t="s">
        <v>161</v>
      </c>
      <c r="C45" s="270" t="s">
        <v>162</v>
      </c>
      <c r="E45" s="15"/>
      <c r="F45" s="15"/>
      <c r="G45" s="15"/>
      <c r="H45" s="15"/>
      <c r="I45" s="15"/>
      <c r="J45" s="15"/>
      <c r="K45" s="16"/>
      <c r="L45" s="16"/>
      <c r="M45" s="16"/>
      <c r="N45" s="16"/>
      <c r="O45" s="16"/>
      <c r="P45" s="16"/>
      <c r="Q45" s="16"/>
      <c r="R45" s="267"/>
      <c r="S45" s="8"/>
      <c r="T45" s="8"/>
      <c r="U45" s="8"/>
      <c r="V45" s="8"/>
    </row>
    <row r="46" spans="2:22" ht="18.75" x14ac:dyDescent="0.3">
      <c r="B46" t="s">
        <v>163</v>
      </c>
      <c r="C46" s="269" t="s">
        <v>42</v>
      </c>
      <c r="D46" t="s">
        <v>230</v>
      </c>
      <c r="E46" s="15">
        <v>400</v>
      </c>
      <c r="F46" s="29">
        <v>4</v>
      </c>
      <c r="G46" s="15"/>
      <c r="H46" s="15"/>
      <c r="I46" s="15"/>
      <c r="J46" s="15"/>
      <c r="K46" s="15">
        <f t="shared" ref="K46" si="28">+E46*F46</f>
        <v>1600</v>
      </c>
      <c r="L46" s="15">
        <v>0</v>
      </c>
      <c r="M46" s="15">
        <f>85.77*F46</f>
        <v>343.08</v>
      </c>
      <c r="N46" s="15">
        <f>M46-L46</f>
        <v>343.08</v>
      </c>
      <c r="O46" s="15">
        <v>0</v>
      </c>
      <c r="P46" s="287">
        <f>E46*0.115*4</f>
        <v>184</v>
      </c>
      <c r="Q46" s="15">
        <f>SUM(N46:P46)+G46</f>
        <v>527.07999999999993</v>
      </c>
      <c r="R46" s="284">
        <f>K46-Q46</f>
        <v>1072.92</v>
      </c>
      <c r="S46" s="263"/>
      <c r="T46" s="263">
        <f>+E46*17.5%*4+48</f>
        <v>328</v>
      </c>
      <c r="U46" s="288">
        <f>+E46*2%*4</f>
        <v>32</v>
      </c>
      <c r="V46" s="35">
        <f t="shared" ref="V46" si="29">SUM(S46:U46)</f>
        <v>360</v>
      </c>
    </row>
    <row r="47" spans="2:22" ht="18.75" x14ac:dyDescent="0.3">
      <c r="B47" s="2" t="s">
        <v>26</v>
      </c>
      <c r="E47" s="34">
        <f>E46</f>
        <v>400</v>
      </c>
      <c r="F47" s="34"/>
      <c r="G47" s="34">
        <f>+G46</f>
        <v>0</v>
      </c>
      <c r="H47" s="34"/>
      <c r="I47" s="34">
        <f>I46</f>
        <v>0</v>
      </c>
      <c r="J47" s="34">
        <f>J46</f>
        <v>0</v>
      </c>
      <c r="K47" s="34">
        <f>K46</f>
        <v>1600</v>
      </c>
      <c r="L47" s="34">
        <f t="shared" ref="L47:V47" si="30">L46</f>
        <v>0</v>
      </c>
      <c r="M47" s="34">
        <f t="shared" si="30"/>
        <v>343.08</v>
      </c>
      <c r="N47" s="34">
        <f t="shared" si="30"/>
        <v>343.08</v>
      </c>
      <c r="O47" s="34">
        <f t="shared" si="30"/>
        <v>0</v>
      </c>
      <c r="P47" s="34">
        <f>P46</f>
        <v>184</v>
      </c>
      <c r="Q47" s="34">
        <f t="shared" si="30"/>
        <v>527.07999999999993</v>
      </c>
      <c r="R47" s="264">
        <f>R46</f>
        <v>1072.92</v>
      </c>
      <c r="S47" s="34">
        <f t="shared" si="30"/>
        <v>0</v>
      </c>
      <c r="T47" s="34">
        <f t="shared" si="30"/>
        <v>328</v>
      </c>
      <c r="U47" s="34">
        <f>U46</f>
        <v>32</v>
      </c>
      <c r="V47" s="34">
        <f t="shared" si="30"/>
        <v>360</v>
      </c>
    </row>
    <row r="48" spans="2:22" ht="12" customHeight="1" x14ac:dyDescent="0.3">
      <c r="B48" s="2"/>
      <c r="E48" s="15"/>
      <c r="F48" s="15"/>
      <c r="G48" s="15"/>
      <c r="H48" s="15"/>
      <c r="I48" s="15"/>
      <c r="J48" s="15"/>
      <c r="K48" s="16"/>
      <c r="L48" s="16"/>
      <c r="M48" s="16"/>
      <c r="N48" s="16"/>
      <c r="O48" s="16"/>
      <c r="P48" s="16"/>
      <c r="Q48" s="16"/>
      <c r="R48" s="267"/>
      <c r="S48" s="8"/>
      <c r="T48" s="8"/>
      <c r="U48" s="8"/>
      <c r="V48" s="8"/>
    </row>
    <row r="49" spans="3:22" ht="18.75" hidden="1" x14ac:dyDescent="0.3">
      <c r="R49" s="268"/>
    </row>
    <row r="50" spans="3:22" ht="18.75" x14ac:dyDescent="0.3">
      <c r="C50" s="53" t="s">
        <v>105</v>
      </c>
      <c r="E50" s="17">
        <f>E9+E20+E25+E39+E43+E47</f>
        <v>6606.2</v>
      </c>
      <c r="F50" s="17"/>
      <c r="G50" s="17">
        <f>G9+G20+G25+G39+G43+G47</f>
        <v>0</v>
      </c>
      <c r="H50" s="17"/>
      <c r="I50" s="17">
        <f>I9+I20+I25+I39+I43+I47</f>
        <v>0</v>
      </c>
      <c r="J50" s="17">
        <f t="shared" ref="J50:Q50" si="31">J9+J20+J25+J39+J43+J47</f>
        <v>0</v>
      </c>
      <c r="K50" s="17">
        <f t="shared" si="31"/>
        <v>26424.799999999999</v>
      </c>
      <c r="L50" s="17">
        <f t="shared" si="31"/>
        <v>0</v>
      </c>
      <c r="M50" s="17">
        <f t="shared" si="31"/>
        <v>5707.2000000000007</v>
      </c>
      <c r="N50" s="17">
        <f t="shared" si="31"/>
        <v>5707.2000000000007</v>
      </c>
      <c r="O50" s="17">
        <f t="shared" si="31"/>
        <v>0</v>
      </c>
      <c r="P50" s="17">
        <f>P9+P20+P25+P39+P43+P47</f>
        <v>3038.8320000000008</v>
      </c>
      <c r="Q50" s="17">
        <f t="shared" si="31"/>
        <v>8746.0319999999992</v>
      </c>
      <c r="R50" s="17">
        <f>R9+R20+R25+R39+R43+R47</f>
        <v>17678.768000000004</v>
      </c>
      <c r="S50" s="17">
        <f>S9+S20+S25+S39+S43+S47</f>
        <v>0</v>
      </c>
      <c r="T50" s="17">
        <f>T9+T20+T25+T39+T43+T47</f>
        <v>5417.0399999999991</v>
      </c>
      <c r="U50" s="17">
        <f>U9+U20+U25+U39+U43+U47</f>
        <v>528.49600000000009</v>
      </c>
      <c r="V50" s="55">
        <f>V9+V20+V25+V39+V43+V47</f>
        <v>5945.5360000000001</v>
      </c>
    </row>
    <row r="59" spans="3:22" ht="16.5" thickBot="1" x14ac:dyDescent="0.3">
      <c r="E59" s="375"/>
      <c r="F59" s="375"/>
      <c r="G59" s="285"/>
      <c r="H59" s="285"/>
      <c r="P59" s="376"/>
      <c r="Q59" s="376"/>
    </row>
    <row r="60" spans="3:22" ht="15" x14ac:dyDescent="0.25">
      <c r="E60" s="377" t="s">
        <v>177</v>
      </c>
      <c r="F60" s="377"/>
      <c r="G60" s="286"/>
      <c r="H60" s="286"/>
      <c r="P60" s="26"/>
      <c r="Q60" s="26"/>
      <c r="R60" s="378" t="s">
        <v>157</v>
      </c>
      <c r="S60" s="378"/>
      <c r="T60" s="285"/>
    </row>
    <row r="64" spans="3:22" x14ac:dyDescent="0.25">
      <c r="C64" t="s">
        <v>174</v>
      </c>
    </row>
  </sheetData>
  <mergeCells count="5">
    <mergeCell ref="B4:V4"/>
    <mergeCell ref="E59:F59"/>
    <mergeCell ref="P59:Q59"/>
    <mergeCell ref="E60:F60"/>
    <mergeCell ref="R60:S60"/>
  </mergeCells>
  <pageMargins left="0.51181102362204722" right="0.51181102362204722" top="0.15748031496062992" bottom="0.35433070866141736" header="0.31496062992125984" footer="0.31496062992125984"/>
  <pageSetup scale="45" fitToHeight="0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W68"/>
  <sheetViews>
    <sheetView topLeftCell="A26" zoomScale="85" zoomScaleNormal="85" workbookViewId="0">
      <selection activeCell="G37" sqref="G37"/>
    </sheetView>
  </sheetViews>
  <sheetFormatPr baseColWidth="10" defaultRowHeight="15.75" x14ac:dyDescent="0.25"/>
  <cols>
    <col min="1" max="1" width="0.7109375" customWidth="1"/>
    <col min="2" max="2" width="17.140625" customWidth="1"/>
    <col min="3" max="3" width="36.5703125" customWidth="1"/>
    <col min="4" max="4" width="28" customWidth="1"/>
    <col min="5" max="5" width="18.42578125" customWidth="1"/>
    <col min="6" max="6" width="12.7109375" customWidth="1"/>
    <col min="7" max="7" width="12.28515625" customWidth="1"/>
    <col min="8" max="8" width="14.140625" hidden="1" customWidth="1"/>
    <col min="9" max="9" width="13.85546875" customWidth="1"/>
    <col min="10" max="10" width="11.42578125" hidden="1" customWidth="1"/>
    <col min="11" max="11" width="15.85546875" customWidth="1"/>
    <col min="12" max="12" width="9.42578125" customWidth="1"/>
    <col min="13" max="13" width="14.42578125" hidden="1" customWidth="1"/>
    <col min="14" max="14" width="14.42578125" customWidth="1"/>
    <col min="15" max="15" width="11.42578125" hidden="1" customWidth="1"/>
    <col min="16" max="16" width="12.85546875" customWidth="1"/>
    <col min="17" max="17" width="16.5703125" customWidth="1"/>
    <col min="18" max="18" width="18.28515625" style="133" customWidth="1"/>
    <col min="19" max="20" width="16.140625" customWidth="1"/>
    <col min="21" max="21" width="14.85546875" customWidth="1"/>
    <col min="22" max="22" width="17" customWidth="1"/>
  </cols>
  <sheetData>
    <row r="3" spans="2:23" x14ac:dyDescent="0.25"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29"/>
    </row>
    <row r="4" spans="2:23" ht="16.5" customHeight="1" x14ac:dyDescent="0.25">
      <c r="B4" s="380" t="s">
        <v>249</v>
      </c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</row>
    <row r="5" spans="2:23" s="56" customFormat="1" ht="56.25" x14ac:dyDescent="0.25">
      <c r="B5" s="120" t="s">
        <v>9</v>
      </c>
      <c r="C5" s="119" t="s">
        <v>10</v>
      </c>
      <c r="D5" s="103" t="s">
        <v>0</v>
      </c>
      <c r="E5" s="61" t="s">
        <v>11</v>
      </c>
      <c r="F5" s="100" t="s">
        <v>150</v>
      </c>
      <c r="G5" s="117" t="s">
        <v>180</v>
      </c>
      <c r="H5" s="118" t="s">
        <v>182</v>
      </c>
      <c r="I5" s="97" t="s">
        <v>169</v>
      </c>
      <c r="J5" s="103" t="s">
        <v>170</v>
      </c>
      <c r="K5" s="103" t="s">
        <v>12</v>
      </c>
      <c r="L5" s="99" t="s">
        <v>107</v>
      </c>
      <c r="M5" s="100" t="s">
        <v>143</v>
      </c>
      <c r="N5" s="100" t="s">
        <v>13</v>
      </c>
      <c r="O5" s="101" t="s">
        <v>171</v>
      </c>
      <c r="P5" s="116" t="s">
        <v>16</v>
      </c>
      <c r="Q5" s="115" t="s">
        <v>17</v>
      </c>
      <c r="R5" s="130" t="s">
        <v>72</v>
      </c>
      <c r="S5" s="99" t="s">
        <v>8</v>
      </c>
      <c r="T5" s="99" t="s">
        <v>218</v>
      </c>
      <c r="U5" s="123" t="s">
        <v>18</v>
      </c>
      <c r="V5" s="123" t="s">
        <v>73</v>
      </c>
      <c r="W5" s="102"/>
    </row>
    <row r="6" spans="2:23" x14ac:dyDescent="0.25">
      <c r="B6" s="107" t="s">
        <v>19</v>
      </c>
      <c r="C6" s="121" t="s">
        <v>20</v>
      </c>
      <c r="D6" s="121"/>
      <c r="E6" s="95"/>
      <c r="F6" s="15"/>
      <c r="G6" s="114"/>
      <c r="H6" s="15"/>
      <c r="I6" s="95"/>
      <c r="J6" s="95"/>
      <c r="K6" s="95"/>
      <c r="L6" s="15"/>
      <c r="M6" s="15"/>
      <c r="N6" s="15"/>
      <c r="O6" s="95"/>
      <c r="P6" s="15"/>
      <c r="Q6" s="95"/>
      <c r="R6" s="129"/>
    </row>
    <row r="7" spans="2:23" ht="18.75" x14ac:dyDescent="0.3">
      <c r="B7" t="s">
        <v>21</v>
      </c>
      <c r="C7" s="269" t="s">
        <v>22</v>
      </c>
      <c r="D7" t="s">
        <v>25</v>
      </c>
      <c r="E7" s="15">
        <v>17633.150000000001</v>
      </c>
      <c r="F7" s="29">
        <v>15</v>
      </c>
      <c r="G7" s="18">
        <v>2700</v>
      </c>
      <c r="H7" s="15"/>
      <c r="I7" s="15"/>
      <c r="J7" s="15"/>
      <c r="K7" s="15">
        <f>E7-I7</f>
        <v>17633.150000000001</v>
      </c>
      <c r="L7" s="15">
        <v>0</v>
      </c>
      <c r="M7" s="15">
        <v>3450.395</v>
      </c>
      <c r="N7" s="15">
        <f>M7-L7</f>
        <v>3450.395</v>
      </c>
      <c r="O7" s="15">
        <v>0</v>
      </c>
      <c r="P7" s="287">
        <f>E7*0.115-0.01</f>
        <v>2027.8022500000002</v>
      </c>
      <c r="Q7" s="15">
        <f>SUM(N7:P7)+G7</f>
        <v>8178.1972500000002</v>
      </c>
      <c r="R7" s="296">
        <f>K7-Q7</f>
        <v>9454.9527500000004</v>
      </c>
      <c r="S7" s="263">
        <f>+'[1]IMSS INCREMENTO 4%'!$AR$2/2</f>
        <v>684.75956133216448</v>
      </c>
      <c r="T7" s="263">
        <f>+E7*17.5%+528.99</f>
        <v>3614.7912500000002</v>
      </c>
      <c r="U7" s="288">
        <f>+E7*2%</f>
        <v>352.66300000000001</v>
      </c>
      <c r="V7" s="35">
        <f>SUM(S7:U7)</f>
        <v>4652.2138113321653</v>
      </c>
    </row>
    <row r="8" spans="2:23" ht="18.75" x14ac:dyDescent="0.3">
      <c r="B8" t="s">
        <v>23</v>
      </c>
      <c r="C8" s="269" t="s">
        <v>24</v>
      </c>
      <c r="D8" t="s">
        <v>3</v>
      </c>
      <c r="E8" s="15">
        <v>5044</v>
      </c>
      <c r="F8" s="29">
        <v>15</v>
      </c>
      <c r="G8" s="18">
        <v>809</v>
      </c>
      <c r="H8" s="15"/>
      <c r="I8" s="15"/>
      <c r="J8" s="15"/>
      <c r="K8" s="15">
        <f>E8-I8</f>
        <v>5044</v>
      </c>
      <c r="L8" s="15">
        <v>0</v>
      </c>
      <c r="M8" s="15">
        <v>526.46</v>
      </c>
      <c r="N8" s="15">
        <f>M8-L8</f>
        <v>526.46</v>
      </c>
      <c r="O8" s="15">
        <v>0</v>
      </c>
      <c r="P8" s="287">
        <f>E8*0.115</f>
        <v>580.06000000000006</v>
      </c>
      <c r="Q8" s="15">
        <f>SUM(N8:P8)+G8</f>
        <v>1915.52</v>
      </c>
      <c r="R8" s="296">
        <f>K8-Q8</f>
        <v>3128.48</v>
      </c>
      <c r="S8" s="263">
        <f>+'[1]IMSS INCREMENTO 4%'!$AR$3/2</f>
        <v>331.41678275799086</v>
      </c>
      <c r="T8" s="263">
        <f>+E8*17.5%+151.32</f>
        <v>1034.02</v>
      </c>
      <c r="U8" s="288">
        <f>+E8*2%</f>
        <v>100.88</v>
      </c>
      <c r="V8" s="35">
        <f>SUM(S8:U8)</f>
        <v>1466.3167827579909</v>
      </c>
    </row>
    <row r="9" spans="2:23" ht="18.75" x14ac:dyDescent="0.3">
      <c r="B9" s="7" t="s">
        <v>26</v>
      </c>
      <c r="C9" s="270"/>
      <c r="D9" s="30"/>
      <c r="E9" s="34">
        <f>SUM(E7:E8)</f>
        <v>22677.15</v>
      </c>
      <c r="F9" s="34"/>
      <c r="G9" s="34">
        <f>+G8+G7</f>
        <v>3509</v>
      </c>
      <c r="H9" s="34"/>
      <c r="I9" s="34">
        <f t="shared" ref="I9:V9" si="0">SUM(I7:I8)</f>
        <v>0</v>
      </c>
      <c r="J9" s="34">
        <f t="shared" si="0"/>
        <v>0</v>
      </c>
      <c r="K9" s="34">
        <f t="shared" si="0"/>
        <v>22677.15</v>
      </c>
      <c r="L9" s="34">
        <f t="shared" si="0"/>
        <v>0</v>
      </c>
      <c r="M9" s="34">
        <f t="shared" si="0"/>
        <v>3976.855</v>
      </c>
      <c r="N9" s="34">
        <f t="shared" si="0"/>
        <v>3976.855</v>
      </c>
      <c r="O9" s="34">
        <f t="shared" si="0"/>
        <v>0</v>
      </c>
      <c r="P9" s="34">
        <f>SUM(P7:P8)</f>
        <v>2607.8622500000001</v>
      </c>
      <c r="Q9" s="34">
        <f t="shared" si="0"/>
        <v>10093.71725</v>
      </c>
      <c r="R9" s="264">
        <f>SUM(R7:R8)</f>
        <v>12583.43275</v>
      </c>
      <c r="S9" s="34">
        <f t="shared" si="0"/>
        <v>1016.1763440901553</v>
      </c>
      <c r="T9" s="34">
        <f t="shared" si="0"/>
        <v>4648.8112500000007</v>
      </c>
      <c r="U9" s="34">
        <f t="shared" si="0"/>
        <v>453.54300000000001</v>
      </c>
      <c r="V9" s="34">
        <f t="shared" si="0"/>
        <v>6118.5305940901562</v>
      </c>
    </row>
    <row r="10" spans="2:23" ht="10.5" hidden="1" customHeight="1" x14ac:dyDescent="0.3">
      <c r="C10" s="133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265"/>
    </row>
    <row r="11" spans="2:23" ht="18.75" x14ac:dyDescent="0.3">
      <c r="B11" s="2" t="s">
        <v>27</v>
      </c>
      <c r="C11" s="270" t="s">
        <v>28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265"/>
    </row>
    <row r="12" spans="2:23" ht="18.75" x14ac:dyDescent="0.3">
      <c r="B12" t="s">
        <v>32</v>
      </c>
      <c r="C12" s="269" t="s">
        <v>37</v>
      </c>
      <c r="D12" t="s">
        <v>230</v>
      </c>
      <c r="E12" s="15">
        <v>10400</v>
      </c>
      <c r="F12" s="29">
        <v>15</v>
      </c>
      <c r="G12" s="18">
        <v>3334</v>
      </c>
      <c r="H12" s="15"/>
      <c r="I12" s="15"/>
      <c r="J12" s="15"/>
      <c r="K12" s="15">
        <f t="shared" ref="K12:K18" si="1">E12-I12</f>
        <v>10400</v>
      </c>
      <c r="L12" s="15">
        <v>0</v>
      </c>
      <c r="M12" s="15">
        <v>1667.21</v>
      </c>
      <c r="N12" s="15">
        <f t="shared" ref="N12:N17" si="2">M12-L12</f>
        <v>1667.21</v>
      </c>
      <c r="O12" s="15">
        <v>0</v>
      </c>
      <c r="P12" s="287">
        <f t="shared" ref="P12:P17" si="3">E12*0.115</f>
        <v>1196</v>
      </c>
      <c r="Q12" s="15">
        <f t="shared" ref="Q12:Q19" si="4">SUM(N12:P12)+G12</f>
        <v>6197.21</v>
      </c>
      <c r="R12" s="296">
        <f t="shared" ref="R12:R19" si="5">K12-Q12</f>
        <v>4202.79</v>
      </c>
      <c r="S12" s="263">
        <f>+'[1]IMSS INCREMENTO 4%'!$AR$4/2</f>
        <v>481.74497987214613</v>
      </c>
      <c r="T12" s="263">
        <f>+E12*17.5%+312</f>
        <v>2132</v>
      </c>
      <c r="U12" s="288">
        <f>+E12*2%</f>
        <v>208</v>
      </c>
      <c r="V12" s="35">
        <f t="shared" ref="V12:V19" si="6">SUM(S12:U12)</f>
        <v>2821.7449798721464</v>
      </c>
    </row>
    <row r="13" spans="2:23" ht="18.75" x14ac:dyDescent="0.3">
      <c r="B13" t="s">
        <v>33</v>
      </c>
      <c r="C13" s="269" t="s">
        <v>38</v>
      </c>
      <c r="D13" t="s">
        <v>232</v>
      </c>
      <c r="E13" s="15">
        <v>5564</v>
      </c>
      <c r="F13" s="29">
        <v>15</v>
      </c>
      <c r="G13" s="15"/>
      <c r="H13" s="15"/>
      <c r="I13" s="77"/>
      <c r="J13" s="19"/>
      <c r="K13" s="15">
        <f>E13-I13</f>
        <v>5564</v>
      </c>
      <c r="L13" s="15">
        <v>0</v>
      </c>
      <c r="M13" s="15">
        <v>633.91</v>
      </c>
      <c r="N13" s="15">
        <f t="shared" si="2"/>
        <v>633.91</v>
      </c>
      <c r="O13" s="15">
        <v>0</v>
      </c>
      <c r="P13" s="287">
        <f t="shared" si="3"/>
        <v>639.86</v>
      </c>
      <c r="Q13" s="15">
        <f t="shared" si="4"/>
        <v>1273.77</v>
      </c>
      <c r="R13" s="296">
        <f t="shared" si="5"/>
        <v>4290.2299999999996</v>
      </c>
      <c r="S13" s="263">
        <f>+'[1]IMSS INCREMENTO 4%'!$AR$5/2</f>
        <v>346.01175335159814</v>
      </c>
      <c r="T13" s="263">
        <f>+E13*17.5%+166.92</f>
        <v>1140.6199999999999</v>
      </c>
      <c r="U13" s="288">
        <f>+E13*2%</f>
        <v>111.28</v>
      </c>
      <c r="V13" s="35">
        <f t="shared" si="6"/>
        <v>1597.911753351598</v>
      </c>
    </row>
    <row r="14" spans="2:23" ht="18.75" x14ac:dyDescent="0.3">
      <c r="B14" t="s">
        <v>34</v>
      </c>
      <c r="C14" s="269" t="s">
        <v>178</v>
      </c>
      <c r="D14" t="s">
        <v>231</v>
      </c>
      <c r="E14" s="15">
        <v>5564</v>
      </c>
      <c r="F14" s="29">
        <v>15</v>
      </c>
      <c r="G14" s="15"/>
      <c r="H14" s="20"/>
      <c r="I14" s="77">
        <v>7.04</v>
      </c>
      <c r="J14" s="19"/>
      <c r="K14" s="15">
        <f>+E14+H14-I14</f>
        <v>5556.96</v>
      </c>
      <c r="L14" s="15">
        <v>0</v>
      </c>
      <c r="M14" s="15">
        <v>633.91</v>
      </c>
      <c r="N14" s="15">
        <f t="shared" si="2"/>
        <v>633.91</v>
      </c>
      <c r="O14" s="15">
        <v>0</v>
      </c>
      <c r="P14" s="287">
        <f t="shared" si="3"/>
        <v>639.86</v>
      </c>
      <c r="Q14" s="15">
        <f t="shared" si="4"/>
        <v>1273.77</v>
      </c>
      <c r="R14" s="296">
        <f t="shared" si="5"/>
        <v>4283.1900000000005</v>
      </c>
      <c r="S14" s="263">
        <f>+'[1]IMSS INCREMENTO 4%'!$AR$6/2</f>
        <v>346.01175335159814</v>
      </c>
      <c r="T14" s="263">
        <f>+E14*17.5%+166.92</f>
        <v>1140.6199999999999</v>
      </c>
      <c r="U14" s="288">
        <f t="shared" ref="U14:U19" si="7">+E14*2%</f>
        <v>111.28</v>
      </c>
      <c r="V14" s="35">
        <f t="shared" si="6"/>
        <v>1597.911753351598</v>
      </c>
    </row>
    <row r="15" spans="2:23" ht="18.75" x14ac:dyDescent="0.3">
      <c r="B15" t="s">
        <v>35</v>
      </c>
      <c r="C15" s="133" t="s">
        <v>111</v>
      </c>
      <c r="D15" t="s">
        <v>77</v>
      </c>
      <c r="E15" s="15">
        <v>6240</v>
      </c>
      <c r="F15" s="29">
        <v>15</v>
      </c>
      <c r="G15" s="15"/>
      <c r="H15" s="15"/>
      <c r="I15" s="15"/>
      <c r="J15" s="15"/>
      <c r="K15" s="15">
        <f t="shared" si="1"/>
        <v>6240</v>
      </c>
      <c r="L15" s="15">
        <v>0</v>
      </c>
      <c r="M15" s="15">
        <v>778.31</v>
      </c>
      <c r="N15" s="15">
        <f t="shared" si="2"/>
        <v>778.31</v>
      </c>
      <c r="O15" s="15">
        <v>0</v>
      </c>
      <c r="P15" s="287">
        <f>E15*0.115</f>
        <v>717.6</v>
      </c>
      <c r="Q15" s="15">
        <f t="shared" si="4"/>
        <v>1495.9099999999999</v>
      </c>
      <c r="R15" s="296">
        <f t="shared" si="5"/>
        <v>4744.09</v>
      </c>
      <c r="S15" s="263">
        <f>+'[1]IMSS INCREMENTO 4%'!$AR$7/2</f>
        <v>364.98521512328773</v>
      </c>
      <c r="T15" s="263">
        <f>+E15*17.5%+187.2</f>
        <v>1279.2</v>
      </c>
      <c r="U15" s="288">
        <f t="shared" si="7"/>
        <v>124.8</v>
      </c>
      <c r="V15" s="35">
        <f t="shared" si="6"/>
        <v>1768.9852151232878</v>
      </c>
    </row>
    <row r="16" spans="2:23" ht="18.75" x14ac:dyDescent="0.3">
      <c r="B16" t="s">
        <v>36</v>
      </c>
      <c r="C16" s="133" t="s">
        <v>86</v>
      </c>
      <c r="D16" t="s">
        <v>233</v>
      </c>
      <c r="E16" s="15">
        <v>4680</v>
      </c>
      <c r="F16" s="29">
        <v>15</v>
      </c>
      <c r="G16" s="18">
        <v>1000</v>
      </c>
      <c r="H16" s="15"/>
      <c r="I16" s="77">
        <v>0.74</v>
      </c>
      <c r="J16" s="15"/>
      <c r="K16" s="15">
        <f t="shared" si="1"/>
        <v>4679.26</v>
      </c>
      <c r="L16" s="15">
        <v>0</v>
      </c>
      <c r="M16" s="15">
        <v>461.23</v>
      </c>
      <c r="N16" s="15">
        <f t="shared" si="2"/>
        <v>461.23</v>
      </c>
      <c r="O16" s="15">
        <v>0</v>
      </c>
      <c r="P16" s="287">
        <f t="shared" si="3"/>
        <v>538.20000000000005</v>
      </c>
      <c r="Q16" s="15">
        <f t="shared" si="4"/>
        <v>1999.43</v>
      </c>
      <c r="R16" s="296">
        <f t="shared" si="5"/>
        <v>2679.83</v>
      </c>
      <c r="S16" s="263">
        <f>+'[1]IMSS INCREMENTO 4%'!$AR$8/2</f>
        <v>321.20030334246576</v>
      </c>
      <c r="T16" s="263">
        <f>+E16*17.5%+140.4</f>
        <v>959.4</v>
      </c>
      <c r="U16" s="288">
        <f t="shared" si="7"/>
        <v>93.600000000000009</v>
      </c>
      <c r="V16" s="35">
        <f t="shared" si="6"/>
        <v>1374.2003033424658</v>
      </c>
    </row>
    <row r="17" spans="2:22" ht="18.75" x14ac:dyDescent="0.3">
      <c r="B17" t="s">
        <v>115</v>
      </c>
      <c r="C17" s="133" t="s">
        <v>87</v>
      </c>
      <c r="D17" t="s">
        <v>234</v>
      </c>
      <c r="E17" s="15">
        <v>4680</v>
      </c>
      <c r="F17" s="29">
        <v>15</v>
      </c>
      <c r="G17" s="18">
        <v>1106.6199999999999</v>
      </c>
      <c r="H17" s="15"/>
      <c r="I17" s="15"/>
      <c r="J17" s="15"/>
      <c r="K17" s="15">
        <f t="shared" si="1"/>
        <v>4680</v>
      </c>
      <c r="L17" s="15">
        <v>0</v>
      </c>
      <c r="M17" s="15">
        <v>461.23</v>
      </c>
      <c r="N17" s="15">
        <f t="shared" si="2"/>
        <v>461.23</v>
      </c>
      <c r="O17" s="15">
        <v>0</v>
      </c>
      <c r="P17" s="287">
        <f t="shared" si="3"/>
        <v>538.20000000000005</v>
      </c>
      <c r="Q17" s="15">
        <f t="shared" si="4"/>
        <v>2106.0500000000002</v>
      </c>
      <c r="R17" s="296">
        <f t="shared" si="5"/>
        <v>2573.9499999999998</v>
      </c>
      <c r="S17" s="263">
        <f>+'[1]IMSS INCREMENTO 4%'!$AR$9/2</f>
        <v>321.20030334246576</v>
      </c>
      <c r="T17" s="263">
        <f>+E17*17.5%+140.4</f>
        <v>959.4</v>
      </c>
      <c r="U17" s="288">
        <f t="shared" si="7"/>
        <v>93.600000000000009</v>
      </c>
      <c r="V17" s="35">
        <f t="shared" si="6"/>
        <v>1374.2003033424658</v>
      </c>
    </row>
    <row r="18" spans="2:22" ht="18.75" x14ac:dyDescent="0.3">
      <c r="B18" t="s">
        <v>116</v>
      </c>
      <c r="C18" s="133" t="s">
        <v>89</v>
      </c>
      <c r="D18" t="s">
        <v>4</v>
      </c>
      <c r="E18" s="15">
        <v>2808</v>
      </c>
      <c r="F18" s="29">
        <v>15</v>
      </c>
      <c r="G18" s="18">
        <v>600</v>
      </c>
      <c r="H18" s="15"/>
      <c r="I18" s="15"/>
      <c r="J18" s="15"/>
      <c r="K18" s="15">
        <f t="shared" si="1"/>
        <v>2808</v>
      </c>
      <c r="L18" s="15">
        <v>147.32</v>
      </c>
      <c r="M18" s="15">
        <v>200.09</v>
      </c>
      <c r="N18" s="15">
        <f>+M18-L18</f>
        <v>52.77000000000001</v>
      </c>
      <c r="O18" s="15">
        <v>0</v>
      </c>
      <c r="P18" s="287">
        <f>E18*0.115</f>
        <v>322.92</v>
      </c>
      <c r="Q18" s="15">
        <f t="shared" si="4"/>
        <v>975.69</v>
      </c>
      <c r="R18" s="296">
        <f t="shared" si="5"/>
        <v>1832.31</v>
      </c>
      <c r="S18" s="263">
        <f>+'[1]IMSS INCREMENTO 4%'!$AR$10/2</f>
        <v>268.65840920547942</v>
      </c>
      <c r="T18" s="263">
        <f>+E18*17.5%+84.24</f>
        <v>575.64</v>
      </c>
      <c r="U18" s="288">
        <f t="shared" si="7"/>
        <v>56.160000000000004</v>
      </c>
      <c r="V18" s="35">
        <f t="shared" si="6"/>
        <v>900.45840920547937</v>
      </c>
    </row>
    <row r="19" spans="2:22" ht="18.75" x14ac:dyDescent="0.3">
      <c r="B19" t="s">
        <v>117</v>
      </c>
      <c r="C19" s="133" t="s">
        <v>88</v>
      </c>
      <c r="D19" t="s">
        <v>235</v>
      </c>
      <c r="E19" s="15">
        <v>3276</v>
      </c>
      <c r="F19" s="29">
        <v>15</v>
      </c>
      <c r="G19" s="18">
        <v>525</v>
      </c>
      <c r="H19" s="15"/>
      <c r="I19" s="15"/>
      <c r="J19" s="15"/>
      <c r="K19" s="15">
        <f>E19-I19</f>
        <v>3276</v>
      </c>
      <c r="L19" s="15">
        <v>126.77</v>
      </c>
      <c r="M19" s="15">
        <v>251</v>
      </c>
      <c r="N19" s="15">
        <f>+M19-L19</f>
        <v>124.23</v>
      </c>
      <c r="O19" s="15">
        <v>0</v>
      </c>
      <c r="P19" s="287">
        <f>E19*0.115</f>
        <v>376.74</v>
      </c>
      <c r="Q19" s="15">
        <f t="shared" si="4"/>
        <v>1025.97</v>
      </c>
      <c r="R19" s="296">
        <f t="shared" si="5"/>
        <v>2250.0299999999997</v>
      </c>
      <c r="S19" s="263">
        <f>+'[1]IMSS INCREMENTO 4%'!$AR$11/2</f>
        <v>281.79388273972603</v>
      </c>
      <c r="T19" s="263">
        <f>+E19*17.5%+98.28</f>
        <v>671.57999999999993</v>
      </c>
      <c r="U19" s="288">
        <f t="shared" si="7"/>
        <v>65.52</v>
      </c>
      <c r="V19" s="35">
        <f t="shared" si="6"/>
        <v>1018.893882739726</v>
      </c>
    </row>
    <row r="20" spans="2:22" ht="18.75" x14ac:dyDescent="0.3">
      <c r="B20" s="2" t="s">
        <v>26</v>
      </c>
      <c r="C20" s="270"/>
      <c r="D20" s="30"/>
      <c r="E20" s="34">
        <f>SUM(E12:E19)</f>
        <v>43212</v>
      </c>
      <c r="F20" s="34"/>
      <c r="G20" s="34">
        <f>+G19+G18+G17+G16+G12</f>
        <v>6565.62</v>
      </c>
      <c r="H20" s="34"/>
      <c r="I20" s="34">
        <f t="shared" ref="I20:V20" si="8">SUM(I12:I19)</f>
        <v>7.78</v>
      </c>
      <c r="J20" s="34">
        <f t="shared" si="8"/>
        <v>0</v>
      </c>
      <c r="K20" s="34">
        <f t="shared" si="8"/>
        <v>43204.22</v>
      </c>
      <c r="L20" s="34">
        <f t="shared" si="8"/>
        <v>274.08999999999997</v>
      </c>
      <c r="M20" s="34">
        <f t="shared" si="8"/>
        <v>5086.8899999999994</v>
      </c>
      <c r="N20" s="34">
        <f t="shared" si="8"/>
        <v>4812.7999999999993</v>
      </c>
      <c r="O20" s="34">
        <f t="shared" si="8"/>
        <v>0</v>
      </c>
      <c r="P20" s="34">
        <f>SUM(P12:P19)</f>
        <v>4969.38</v>
      </c>
      <c r="Q20" s="34">
        <f t="shared" si="8"/>
        <v>16347.8</v>
      </c>
      <c r="R20" s="264">
        <f>SUM(R12:R19)</f>
        <v>26856.420000000006</v>
      </c>
      <c r="S20" s="34">
        <f t="shared" si="8"/>
        <v>2731.6066003287674</v>
      </c>
      <c r="T20" s="34">
        <f t="shared" si="8"/>
        <v>8858.4599999999991</v>
      </c>
      <c r="U20" s="34">
        <f t="shared" si="8"/>
        <v>864.2399999999999</v>
      </c>
      <c r="V20" s="34">
        <f t="shared" si="8"/>
        <v>12454.306600328768</v>
      </c>
    </row>
    <row r="21" spans="2:22" ht="18.75" hidden="1" x14ac:dyDescent="0.3">
      <c r="B21" s="2"/>
      <c r="C21" s="133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265"/>
    </row>
    <row r="22" spans="2:22" ht="18.75" x14ac:dyDescent="0.3">
      <c r="B22" s="2" t="s">
        <v>50</v>
      </c>
      <c r="C22" s="270" t="s">
        <v>160</v>
      </c>
      <c r="E22" s="15"/>
      <c r="F22" s="15"/>
      <c r="G22" s="15"/>
      <c r="H22" s="15"/>
      <c r="I22" s="15"/>
      <c r="J22" s="15"/>
      <c r="K22" s="113"/>
      <c r="L22" s="113"/>
      <c r="M22" s="15"/>
      <c r="N22" s="15"/>
      <c r="O22" s="15"/>
      <c r="P22" s="15"/>
      <c r="Q22" s="15"/>
      <c r="R22" s="265"/>
    </row>
    <row r="23" spans="2:22" ht="18.75" x14ac:dyDescent="0.3">
      <c r="B23" t="s">
        <v>119</v>
      </c>
      <c r="C23" s="133" t="s">
        <v>224</v>
      </c>
      <c r="D23" t="s">
        <v>236</v>
      </c>
      <c r="E23" s="15">
        <v>5350</v>
      </c>
      <c r="F23" s="29">
        <v>15</v>
      </c>
      <c r="G23" s="20"/>
      <c r="H23" s="15"/>
      <c r="I23" s="15"/>
      <c r="J23" s="15"/>
      <c r="K23" s="15">
        <f>E23-I23</f>
        <v>5350</v>
      </c>
      <c r="L23" s="15">
        <v>0</v>
      </c>
      <c r="M23" s="20">
        <v>588.20000000000005</v>
      </c>
      <c r="N23" s="15">
        <f>M23-L23</f>
        <v>588.20000000000005</v>
      </c>
      <c r="O23" s="15">
        <v>0</v>
      </c>
      <c r="P23" s="20"/>
      <c r="Q23" s="15">
        <f>SUM(N23:P23)+G23</f>
        <v>588.20000000000005</v>
      </c>
      <c r="R23" s="296">
        <f>K23-Q23</f>
        <v>4761.8</v>
      </c>
      <c r="S23" s="263">
        <f>+'[1]IMSS INCREMENTO 4%'!$AR$13/2</f>
        <v>340.00536160730593</v>
      </c>
      <c r="T23" s="263"/>
      <c r="U23" s="263"/>
      <c r="V23" s="35">
        <f t="shared" ref="V23" si="9">SUM(S23:U23)</f>
        <v>340.00536160730593</v>
      </c>
    </row>
    <row r="24" spans="2:22" ht="18.75" x14ac:dyDescent="0.3">
      <c r="B24" t="s">
        <v>228</v>
      </c>
      <c r="C24" s="133" t="s">
        <v>229</v>
      </c>
      <c r="D24" t="s">
        <v>237</v>
      </c>
      <c r="E24" s="15">
        <v>5350</v>
      </c>
      <c r="F24" s="29">
        <v>15</v>
      </c>
      <c r="G24" s="20"/>
      <c r="H24" s="15"/>
      <c r="I24" s="15"/>
      <c r="J24" s="15"/>
      <c r="K24" s="15">
        <f>E24-I24</f>
        <v>5350</v>
      </c>
      <c r="L24" s="15">
        <v>0</v>
      </c>
      <c r="M24" s="20">
        <v>588.20000000000005</v>
      </c>
      <c r="N24" s="15">
        <f>M24-L24</f>
        <v>588.20000000000005</v>
      </c>
      <c r="O24" s="15">
        <v>0</v>
      </c>
      <c r="P24" s="20"/>
      <c r="Q24" s="15">
        <f>SUM(N24:P24)+G24</f>
        <v>588.20000000000005</v>
      </c>
      <c r="R24" s="296">
        <f>K24-Q24</f>
        <v>4761.8</v>
      </c>
      <c r="S24" s="263">
        <f>+'[1]IMSS INCREMENTO 4%'!$AR$12/2</f>
        <v>340.00536160730593</v>
      </c>
      <c r="T24" s="263"/>
      <c r="U24" s="263"/>
      <c r="V24" s="35">
        <f t="shared" ref="V24" si="10">SUM(S24:U24)</f>
        <v>340.00536160730593</v>
      </c>
    </row>
    <row r="25" spans="2:22" ht="18.75" x14ac:dyDescent="0.3">
      <c r="B25" t="s">
        <v>120</v>
      </c>
      <c r="C25" s="133" t="s">
        <v>93</v>
      </c>
      <c r="D25" t="s">
        <v>238</v>
      </c>
      <c r="E25" s="15">
        <v>5564</v>
      </c>
      <c r="F25" s="29">
        <v>15</v>
      </c>
      <c r="G25" s="18">
        <v>1115</v>
      </c>
      <c r="H25" s="15"/>
      <c r="I25" s="71"/>
      <c r="J25" s="15"/>
      <c r="K25" s="15">
        <f>E25-I25</f>
        <v>5564</v>
      </c>
      <c r="L25" s="15">
        <v>0</v>
      </c>
      <c r="M25" s="15">
        <v>633.91</v>
      </c>
      <c r="N25" s="15">
        <f>M25-L25</f>
        <v>633.91</v>
      </c>
      <c r="O25" s="15">
        <v>0</v>
      </c>
      <c r="P25" s="287">
        <f>E25*0.115</f>
        <v>639.86</v>
      </c>
      <c r="Q25" s="15">
        <f>SUM(N25:P25)+G25</f>
        <v>2388.77</v>
      </c>
      <c r="R25" s="296">
        <f>K25-Q25</f>
        <v>3175.23</v>
      </c>
      <c r="S25" s="263">
        <f>+'[1]IMSS INCREMENTO 4%'!$AR$14/2</f>
        <v>346.01175335159814</v>
      </c>
      <c r="T25" s="263">
        <f>+E25*17.5%+166.92</f>
        <v>1140.6199999999999</v>
      </c>
      <c r="U25" s="288">
        <f t="shared" ref="U25:U26" si="11">+E25*2%</f>
        <v>111.28</v>
      </c>
      <c r="V25" s="35">
        <f>SUM(S25:U25)</f>
        <v>1597.911753351598</v>
      </c>
    </row>
    <row r="26" spans="2:22" ht="18.75" x14ac:dyDescent="0.3">
      <c r="B26" t="s">
        <v>121</v>
      </c>
      <c r="C26" s="133" t="s">
        <v>114</v>
      </c>
      <c r="D26" t="s">
        <v>237</v>
      </c>
      <c r="E26" s="15">
        <v>5564</v>
      </c>
      <c r="F26" s="29">
        <v>15</v>
      </c>
      <c r="G26" s="18">
        <v>1189</v>
      </c>
      <c r="H26" s="15"/>
      <c r="I26" s="77"/>
      <c r="J26" s="15"/>
      <c r="K26" s="15">
        <f>E26-I26</f>
        <v>5564</v>
      </c>
      <c r="L26" s="15">
        <v>0</v>
      </c>
      <c r="M26" s="15">
        <v>633.91</v>
      </c>
      <c r="N26" s="15">
        <f>M26-L26</f>
        <v>633.91</v>
      </c>
      <c r="O26" s="15">
        <v>0</v>
      </c>
      <c r="P26" s="287">
        <f>E26*0.115</f>
        <v>639.86</v>
      </c>
      <c r="Q26" s="15">
        <f>SUM(N26:P26)+G26</f>
        <v>2462.77</v>
      </c>
      <c r="R26" s="296">
        <f>K26-Q26</f>
        <v>3101.23</v>
      </c>
      <c r="S26" s="263">
        <f>+'[1]IMSS INCREMENTO 4%'!$AR$15/2</f>
        <v>346.01175335159814</v>
      </c>
      <c r="T26" s="263">
        <f>+E26*17.5%+166.92</f>
        <v>1140.6199999999999</v>
      </c>
      <c r="U26" s="288">
        <f t="shared" si="11"/>
        <v>111.28</v>
      </c>
      <c r="V26" s="35">
        <f>SUM(S26:U26)</f>
        <v>1597.911753351598</v>
      </c>
    </row>
    <row r="27" spans="2:22" ht="18.75" x14ac:dyDescent="0.3">
      <c r="B27" s="2" t="s">
        <v>26</v>
      </c>
      <c r="C27" s="270"/>
      <c r="D27" s="30"/>
      <c r="E27" s="34">
        <f>SUM(E23:E26)</f>
        <v>21828</v>
      </c>
      <c r="F27" s="34"/>
      <c r="G27" s="34">
        <f>+G26+G25+G23+G24</f>
        <v>2304</v>
      </c>
      <c r="H27" s="34"/>
      <c r="I27" s="34">
        <f t="shared" ref="I27:N27" si="12">SUM(I23:I26)</f>
        <v>0</v>
      </c>
      <c r="J27" s="34">
        <f t="shared" si="12"/>
        <v>0</v>
      </c>
      <c r="K27" s="34">
        <f t="shared" si="12"/>
        <v>21828</v>
      </c>
      <c r="L27" s="34">
        <f t="shared" si="12"/>
        <v>0</v>
      </c>
      <c r="M27" s="34">
        <f t="shared" si="12"/>
        <v>2444.2199999999998</v>
      </c>
      <c r="N27" s="34">
        <f t="shared" si="12"/>
        <v>2444.2199999999998</v>
      </c>
      <c r="O27" s="34">
        <f t="shared" ref="O27:V27" si="13">SUM(O23:O26)</f>
        <v>0</v>
      </c>
      <c r="P27" s="34">
        <f t="shared" si="13"/>
        <v>1279.72</v>
      </c>
      <c r="Q27" s="34">
        <f t="shared" si="13"/>
        <v>6027.9400000000005</v>
      </c>
      <c r="R27" s="264">
        <f t="shared" si="13"/>
        <v>15800.06</v>
      </c>
      <c r="S27" s="34">
        <f t="shared" si="13"/>
        <v>1372.0342299178083</v>
      </c>
      <c r="T27" s="34">
        <f t="shared" si="13"/>
        <v>2281.2399999999998</v>
      </c>
      <c r="U27" s="34">
        <f t="shared" si="13"/>
        <v>222.56</v>
      </c>
      <c r="V27" s="34">
        <f t="shared" si="13"/>
        <v>3875.8342299178075</v>
      </c>
    </row>
    <row r="28" spans="2:22" ht="18.75" hidden="1" x14ac:dyDescent="0.3">
      <c r="C28" s="133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265"/>
    </row>
    <row r="29" spans="2:22" ht="18.75" x14ac:dyDescent="0.3">
      <c r="B29" s="2" t="s">
        <v>63</v>
      </c>
      <c r="C29" s="270" t="s">
        <v>51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265"/>
    </row>
    <row r="30" spans="2:22" ht="18.75" x14ac:dyDescent="0.3">
      <c r="B30" t="s">
        <v>122</v>
      </c>
      <c r="C30" s="133" t="s">
        <v>97</v>
      </c>
      <c r="D30" t="s">
        <v>80</v>
      </c>
      <c r="E30" s="15">
        <v>5564</v>
      </c>
      <c r="F30" s="29">
        <v>15</v>
      </c>
      <c r="G30" s="15"/>
      <c r="H30" s="15"/>
      <c r="I30" s="71"/>
      <c r="J30" s="15"/>
      <c r="K30" s="15">
        <f t="shared" ref="K30:K39" si="14">E30-I30</f>
        <v>5564</v>
      </c>
      <c r="L30" s="15">
        <v>0</v>
      </c>
      <c r="M30" s="15">
        <v>633.91</v>
      </c>
      <c r="N30" s="15">
        <f>M30-L30</f>
        <v>633.91</v>
      </c>
      <c r="O30" s="15">
        <v>0</v>
      </c>
      <c r="P30" s="287">
        <f>E30*0.115</f>
        <v>639.86</v>
      </c>
      <c r="Q30" s="15">
        <f t="shared" ref="Q30:Q40" si="15">SUM(N30:P30)+G30</f>
        <v>1273.77</v>
      </c>
      <c r="R30" s="296">
        <f t="shared" ref="R30:R40" si="16">K30-Q30</f>
        <v>4290.2299999999996</v>
      </c>
      <c r="S30" s="263">
        <f>+'[1]IMSS INCREMENTO 4%'!$AR$16/2</f>
        <v>346.01175335159814</v>
      </c>
      <c r="T30" s="263">
        <f>+E30*17.5%+166.92</f>
        <v>1140.6199999999999</v>
      </c>
      <c r="U30" s="288">
        <f t="shared" ref="U30:U40" si="17">+E30*2%</f>
        <v>111.28</v>
      </c>
      <c r="V30" s="35">
        <f>SUM(S30:U30)</f>
        <v>1597.911753351598</v>
      </c>
    </row>
    <row r="31" spans="2:22" ht="18.75" x14ac:dyDescent="0.3">
      <c r="B31" t="s">
        <v>123</v>
      </c>
      <c r="C31" s="133" t="s">
        <v>100</v>
      </c>
      <c r="D31" t="s">
        <v>80</v>
      </c>
      <c r="E31" s="15">
        <v>5564</v>
      </c>
      <c r="F31" s="29">
        <v>15</v>
      </c>
      <c r="G31" s="18">
        <v>904</v>
      </c>
      <c r="H31" s="15"/>
      <c r="I31" s="77">
        <v>1.76</v>
      </c>
      <c r="J31" s="20"/>
      <c r="K31" s="20">
        <f t="shared" si="14"/>
        <v>5562.24</v>
      </c>
      <c r="L31" s="20">
        <v>0</v>
      </c>
      <c r="M31" s="15">
        <v>633.91</v>
      </c>
      <c r="N31" s="67">
        <f>633.91+45.71</f>
        <v>679.62</v>
      </c>
      <c r="O31" s="15">
        <v>0</v>
      </c>
      <c r="P31" s="287">
        <f t="shared" ref="P31:P40" si="18">E31*0.115</f>
        <v>639.86</v>
      </c>
      <c r="Q31" s="15">
        <f t="shared" si="15"/>
        <v>2223.48</v>
      </c>
      <c r="R31" s="296">
        <f t="shared" si="16"/>
        <v>3338.7599999999998</v>
      </c>
      <c r="S31" s="263">
        <f>+'[1]IMSS INCREMENTO 4%'!$AR$17/2</f>
        <v>346.01175335159814</v>
      </c>
      <c r="T31" s="263">
        <f>+E31*17.5%+166.92</f>
        <v>1140.6199999999999</v>
      </c>
      <c r="U31" s="288">
        <f t="shared" si="17"/>
        <v>111.28</v>
      </c>
      <c r="V31" s="35">
        <f>SUM(S31:U31)</f>
        <v>1597.911753351598</v>
      </c>
    </row>
    <row r="32" spans="2:22" ht="18.75" x14ac:dyDescent="0.3">
      <c r="B32" t="s">
        <v>124</v>
      </c>
      <c r="C32" s="133" t="s">
        <v>96</v>
      </c>
      <c r="D32" t="s">
        <v>239</v>
      </c>
      <c r="E32" s="15">
        <v>6240</v>
      </c>
      <c r="F32" s="29">
        <v>15</v>
      </c>
      <c r="G32" s="15"/>
      <c r="H32" s="15"/>
      <c r="I32" s="15"/>
      <c r="J32" s="15"/>
      <c r="K32" s="15">
        <f t="shared" si="14"/>
        <v>6240</v>
      </c>
      <c r="L32" s="15">
        <v>0</v>
      </c>
      <c r="M32" s="15">
        <v>778.31</v>
      </c>
      <c r="N32" s="15">
        <f>M32-L32</f>
        <v>778.31</v>
      </c>
      <c r="O32" s="15">
        <v>0</v>
      </c>
      <c r="P32" s="287">
        <f>E32*0.115</f>
        <v>717.6</v>
      </c>
      <c r="Q32" s="15">
        <f t="shared" si="15"/>
        <v>1495.9099999999999</v>
      </c>
      <c r="R32" s="296">
        <f t="shared" si="16"/>
        <v>4744.09</v>
      </c>
      <c r="S32" s="263">
        <f>+'[1]IMSS INCREMENTO 4%'!$AR$18/2</f>
        <v>364.98521512328773</v>
      </c>
      <c r="T32" s="263">
        <f>+E32*17.5%+187.2</f>
        <v>1279.2</v>
      </c>
      <c r="U32" s="288">
        <f t="shared" si="17"/>
        <v>124.8</v>
      </c>
      <c r="V32" s="35">
        <f t="shared" ref="V32:V40" si="19">SUM(S32:U32)</f>
        <v>1768.9852151232878</v>
      </c>
    </row>
    <row r="33" spans="2:22" ht="18.75" x14ac:dyDescent="0.3">
      <c r="B33" t="s">
        <v>125</v>
      </c>
      <c r="C33" s="133" t="s">
        <v>104</v>
      </c>
      <c r="D33" t="s">
        <v>222</v>
      </c>
      <c r="E33" s="15">
        <v>5564</v>
      </c>
      <c r="F33" s="29">
        <v>15</v>
      </c>
      <c r="G33" s="265"/>
      <c r="H33" s="15"/>
      <c r="I33" s="20"/>
      <c r="J33" s="20"/>
      <c r="K33" s="20">
        <f t="shared" si="14"/>
        <v>5564</v>
      </c>
      <c r="L33" s="20">
        <v>0</v>
      </c>
      <c r="M33" s="15">
        <v>633.91</v>
      </c>
      <c r="N33" s="20">
        <f t="shared" ref="N33:N40" si="20">M33-L33</f>
        <v>633.91</v>
      </c>
      <c r="O33" s="15">
        <v>0</v>
      </c>
      <c r="P33" s="287">
        <f t="shared" si="18"/>
        <v>639.86</v>
      </c>
      <c r="Q33" s="15">
        <f t="shared" si="15"/>
        <v>1273.77</v>
      </c>
      <c r="R33" s="296">
        <f t="shared" si="16"/>
        <v>4290.2299999999996</v>
      </c>
      <c r="S33" s="263">
        <f>+'[1]IMSS INCREMENTO 4%'!$AR$19/2</f>
        <v>346.01175335159814</v>
      </c>
      <c r="T33" s="263">
        <f t="shared" ref="T33:T40" si="21">+E33*17.5%+166.92</f>
        <v>1140.6199999999999</v>
      </c>
      <c r="U33" s="288">
        <f t="shared" si="17"/>
        <v>111.28</v>
      </c>
      <c r="V33" s="35">
        <f t="shared" si="19"/>
        <v>1597.911753351598</v>
      </c>
    </row>
    <row r="34" spans="2:22" ht="18.75" x14ac:dyDescent="0.3">
      <c r="B34" t="s">
        <v>126</v>
      </c>
      <c r="C34" s="133" t="s">
        <v>94</v>
      </c>
      <c r="D34" t="s">
        <v>240</v>
      </c>
      <c r="E34" s="15">
        <v>5564</v>
      </c>
      <c r="F34" s="29">
        <v>15</v>
      </c>
      <c r="G34" s="18">
        <v>595</v>
      </c>
      <c r="H34" s="15"/>
      <c r="I34" s="77">
        <v>3.52</v>
      </c>
      <c r="J34" s="20"/>
      <c r="K34" s="20">
        <f>E34-I34</f>
        <v>5560.48</v>
      </c>
      <c r="L34" s="20">
        <v>0</v>
      </c>
      <c r="M34" s="15">
        <v>633.91</v>
      </c>
      <c r="N34" s="67">
        <f>633.91+45.71</f>
        <v>679.62</v>
      </c>
      <c r="O34" s="15">
        <v>0</v>
      </c>
      <c r="P34" s="287">
        <f t="shared" si="18"/>
        <v>639.86</v>
      </c>
      <c r="Q34" s="15">
        <f t="shared" si="15"/>
        <v>1914.48</v>
      </c>
      <c r="R34" s="296">
        <f t="shared" si="16"/>
        <v>3645.9999999999995</v>
      </c>
      <c r="S34" s="263">
        <f>+'[1]IMSS INCREMENTO 4%'!$AR$20/2</f>
        <v>346.01175335159814</v>
      </c>
      <c r="T34" s="263">
        <f t="shared" si="21"/>
        <v>1140.6199999999999</v>
      </c>
      <c r="U34" s="288">
        <f t="shared" si="17"/>
        <v>111.28</v>
      </c>
      <c r="V34" s="35">
        <f t="shared" si="19"/>
        <v>1597.911753351598</v>
      </c>
    </row>
    <row r="35" spans="2:22" ht="18.75" x14ac:dyDescent="0.3">
      <c r="B35" t="s">
        <v>127</v>
      </c>
      <c r="C35" s="133" t="s">
        <v>98</v>
      </c>
      <c r="D35" t="s">
        <v>240</v>
      </c>
      <c r="E35" s="15">
        <v>5564</v>
      </c>
      <c r="F35" s="29">
        <v>15</v>
      </c>
      <c r="G35" s="15"/>
      <c r="H35" s="20"/>
      <c r="I35" s="15"/>
      <c r="J35" s="20"/>
      <c r="K35" s="20">
        <f>E35-I35</f>
        <v>5564</v>
      </c>
      <c r="L35" s="20">
        <v>0</v>
      </c>
      <c r="M35" s="15">
        <v>633.91</v>
      </c>
      <c r="N35" s="20">
        <f t="shared" si="20"/>
        <v>633.91</v>
      </c>
      <c r="O35" s="15">
        <v>0</v>
      </c>
      <c r="P35" s="287">
        <f>E35*0.115</f>
        <v>639.86</v>
      </c>
      <c r="Q35" s="15">
        <f t="shared" si="15"/>
        <v>1273.77</v>
      </c>
      <c r="R35" s="296">
        <f t="shared" si="16"/>
        <v>4290.2299999999996</v>
      </c>
      <c r="S35" s="263">
        <f>+'[1]IMSS INCREMENTO 4%'!$AR$21/2</f>
        <v>346.01175335159814</v>
      </c>
      <c r="T35" s="263">
        <f t="shared" si="21"/>
        <v>1140.6199999999999</v>
      </c>
      <c r="U35" s="288">
        <f t="shared" si="17"/>
        <v>111.28</v>
      </c>
      <c r="V35" s="35">
        <f t="shared" si="19"/>
        <v>1597.911753351598</v>
      </c>
    </row>
    <row r="36" spans="2:22" ht="18.75" x14ac:dyDescent="0.3">
      <c r="B36" t="s">
        <v>128</v>
      </c>
      <c r="C36" s="133" t="s">
        <v>101</v>
      </c>
      <c r="D36" t="s">
        <v>240</v>
      </c>
      <c r="E36" s="15">
        <v>5564</v>
      </c>
      <c r="F36" s="29">
        <v>15</v>
      </c>
      <c r="G36" s="15"/>
      <c r="H36" s="15"/>
      <c r="I36" s="77"/>
      <c r="J36" s="20"/>
      <c r="K36" s="20">
        <f>E36-I36</f>
        <v>5564</v>
      </c>
      <c r="L36" s="20">
        <v>0</v>
      </c>
      <c r="M36" s="15">
        <v>633.91</v>
      </c>
      <c r="N36" s="15">
        <f>M36-L36</f>
        <v>633.91</v>
      </c>
      <c r="O36" s="15">
        <v>0</v>
      </c>
      <c r="P36" s="287">
        <f t="shared" si="18"/>
        <v>639.86</v>
      </c>
      <c r="Q36" s="15">
        <f t="shared" si="15"/>
        <v>1273.77</v>
      </c>
      <c r="R36" s="296">
        <f t="shared" si="16"/>
        <v>4290.2299999999996</v>
      </c>
      <c r="S36" s="263">
        <f>+'[1]IMSS INCREMENTO 4%'!$AR$22/2</f>
        <v>346.01175335159814</v>
      </c>
      <c r="T36" s="263">
        <f t="shared" si="21"/>
        <v>1140.6199999999999</v>
      </c>
      <c r="U36" s="288">
        <f t="shared" si="17"/>
        <v>111.28</v>
      </c>
      <c r="V36" s="35">
        <f t="shared" si="19"/>
        <v>1597.911753351598</v>
      </c>
    </row>
    <row r="37" spans="2:22" ht="18.75" x14ac:dyDescent="0.3">
      <c r="B37" t="s">
        <v>129</v>
      </c>
      <c r="C37" s="133" t="s">
        <v>95</v>
      </c>
      <c r="D37" t="s">
        <v>241</v>
      </c>
      <c r="E37" s="15">
        <v>5564</v>
      </c>
      <c r="F37" s="29">
        <v>15</v>
      </c>
      <c r="G37" s="20"/>
      <c r="H37" s="15"/>
      <c r="I37" s="77"/>
      <c r="J37" s="15"/>
      <c r="K37" s="15">
        <f t="shared" si="14"/>
        <v>5564</v>
      </c>
      <c r="L37" s="15">
        <v>0</v>
      </c>
      <c r="M37" s="15">
        <v>633.91</v>
      </c>
      <c r="N37" s="15">
        <f t="shared" si="20"/>
        <v>633.91</v>
      </c>
      <c r="O37" s="15">
        <v>0</v>
      </c>
      <c r="P37" s="287">
        <f t="shared" si="18"/>
        <v>639.86</v>
      </c>
      <c r="Q37" s="15">
        <f t="shared" si="15"/>
        <v>1273.77</v>
      </c>
      <c r="R37" s="296">
        <f t="shared" si="16"/>
        <v>4290.2299999999996</v>
      </c>
      <c r="S37" s="263">
        <f>+'[1]IMSS INCREMENTO 4%'!$AR$23/2</f>
        <v>346.01175335159814</v>
      </c>
      <c r="T37" s="263">
        <f t="shared" si="21"/>
        <v>1140.6199999999999</v>
      </c>
      <c r="U37" s="288">
        <f t="shared" si="17"/>
        <v>111.28</v>
      </c>
      <c r="V37" s="35">
        <f t="shared" si="19"/>
        <v>1597.911753351598</v>
      </c>
    </row>
    <row r="38" spans="2:22" ht="18.75" x14ac:dyDescent="0.3">
      <c r="B38" t="s">
        <v>130</v>
      </c>
      <c r="C38" s="133" t="s">
        <v>102</v>
      </c>
      <c r="D38" t="s">
        <v>241</v>
      </c>
      <c r="E38" s="15">
        <v>5564</v>
      </c>
      <c r="F38" s="29">
        <v>15</v>
      </c>
      <c r="G38" s="20"/>
      <c r="H38" s="15"/>
      <c r="I38" s="77">
        <v>3.52</v>
      </c>
      <c r="J38" s="15"/>
      <c r="K38" s="15">
        <f>E38-I38</f>
        <v>5560.48</v>
      </c>
      <c r="L38" s="15">
        <v>0</v>
      </c>
      <c r="M38" s="15">
        <v>633.91</v>
      </c>
      <c r="N38" s="67">
        <f>633.91+45.71</f>
        <v>679.62</v>
      </c>
      <c r="O38" s="15">
        <v>0</v>
      </c>
      <c r="P38" s="287">
        <f t="shared" si="18"/>
        <v>639.86</v>
      </c>
      <c r="Q38" s="15">
        <f t="shared" si="15"/>
        <v>1319.48</v>
      </c>
      <c r="R38" s="296">
        <f t="shared" si="16"/>
        <v>4241</v>
      </c>
      <c r="S38" s="263">
        <f>+'[1]IMSS INCREMENTO 4%'!$AR$24/2</f>
        <v>346.01175335159814</v>
      </c>
      <c r="T38" s="263">
        <f t="shared" si="21"/>
        <v>1140.6199999999999</v>
      </c>
      <c r="U38" s="288">
        <f t="shared" si="17"/>
        <v>111.28</v>
      </c>
      <c r="V38" s="35">
        <f t="shared" si="19"/>
        <v>1597.911753351598</v>
      </c>
    </row>
    <row r="39" spans="2:22" ht="18.75" x14ac:dyDescent="0.3">
      <c r="B39" t="s">
        <v>131</v>
      </c>
      <c r="C39" s="133" t="s">
        <v>85</v>
      </c>
      <c r="D39" t="s">
        <v>242</v>
      </c>
      <c r="E39" s="15">
        <v>5564</v>
      </c>
      <c r="F39" s="29">
        <v>15</v>
      </c>
      <c r="G39" s="18">
        <v>1784</v>
      </c>
      <c r="H39" s="15"/>
      <c r="I39" s="77"/>
      <c r="J39" s="15"/>
      <c r="K39" s="15">
        <f t="shared" si="14"/>
        <v>5564</v>
      </c>
      <c r="L39" s="15">
        <v>0</v>
      </c>
      <c r="M39" s="15">
        <v>633.91</v>
      </c>
      <c r="N39" s="15">
        <f t="shared" si="20"/>
        <v>633.91</v>
      </c>
      <c r="O39" s="15">
        <v>0</v>
      </c>
      <c r="P39" s="287">
        <f t="shared" si="18"/>
        <v>639.86</v>
      </c>
      <c r="Q39" s="15">
        <f t="shared" si="15"/>
        <v>3057.77</v>
      </c>
      <c r="R39" s="296">
        <f t="shared" si="16"/>
        <v>2506.23</v>
      </c>
      <c r="S39" s="263">
        <f>+'[1]IMSS INCREMENTO 4%'!$AR$25/2</f>
        <v>346.01175335159814</v>
      </c>
      <c r="T39" s="263">
        <f t="shared" si="21"/>
        <v>1140.6199999999999</v>
      </c>
      <c r="U39" s="288">
        <f t="shared" si="17"/>
        <v>111.28</v>
      </c>
      <c r="V39" s="35">
        <f t="shared" si="19"/>
        <v>1597.911753351598</v>
      </c>
    </row>
    <row r="40" spans="2:22" ht="18.75" x14ac:dyDescent="0.3">
      <c r="B40" t="s">
        <v>132</v>
      </c>
      <c r="C40" s="133" t="s">
        <v>103</v>
      </c>
      <c r="D40" t="s">
        <v>242</v>
      </c>
      <c r="E40" s="15">
        <v>5564</v>
      </c>
      <c r="F40" s="29">
        <v>15</v>
      </c>
      <c r="G40" s="18">
        <v>2293</v>
      </c>
      <c r="H40" s="15"/>
      <c r="I40" s="77">
        <v>14.96</v>
      </c>
      <c r="J40" s="15"/>
      <c r="K40" s="15">
        <f>E40-I40</f>
        <v>5549.04</v>
      </c>
      <c r="L40" s="15">
        <v>0</v>
      </c>
      <c r="M40" s="15">
        <v>633.91</v>
      </c>
      <c r="N40" s="15">
        <f t="shared" si="20"/>
        <v>633.91</v>
      </c>
      <c r="O40" s="15">
        <v>0</v>
      </c>
      <c r="P40" s="287">
        <f t="shared" si="18"/>
        <v>639.86</v>
      </c>
      <c r="Q40" s="15">
        <f t="shared" si="15"/>
        <v>3566.77</v>
      </c>
      <c r="R40" s="296">
        <f t="shared" si="16"/>
        <v>1982.27</v>
      </c>
      <c r="S40" s="263">
        <f>+'[1]IMSS INCREMENTO 4%'!$AR$26/2</f>
        <v>346.01175335159814</v>
      </c>
      <c r="T40" s="263">
        <f t="shared" si="21"/>
        <v>1140.6199999999999</v>
      </c>
      <c r="U40" s="288">
        <f t="shared" si="17"/>
        <v>111.28</v>
      </c>
      <c r="V40" s="35">
        <f t="shared" si="19"/>
        <v>1597.911753351598</v>
      </c>
    </row>
    <row r="41" spans="2:22" ht="18.75" x14ac:dyDescent="0.3">
      <c r="B41" s="2" t="s">
        <v>26</v>
      </c>
      <c r="C41" s="270"/>
      <c r="D41" s="30"/>
      <c r="E41" s="34">
        <f>SUM(E30:E40)</f>
        <v>61880</v>
      </c>
      <c r="F41" s="34"/>
      <c r="G41" s="34">
        <f>+G40+G39+G38+G37+G36+G35+G34+G31</f>
        <v>5576</v>
      </c>
      <c r="H41" s="34"/>
      <c r="I41" s="34">
        <f>SUM(I30:I40)</f>
        <v>23.76</v>
      </c>
      <c r="J41" s="34">
        <f>SUM(J30:J40)</f>
        <v>0</v>
      </c>
      <c r="K41" s="34">
        <f>SUM(K30:K40)</f>
        <v>61856.24</v>
      </c>
      <c r="L41" s="34">
        <f t="shared" ref="L41:Q41" si="22">SUM(L30:L40)</f>
        <v>0</v>
      </c>
      <c r="M41" s="34">
        <f t="shared" si="22"/>
        <v>7117.4099999999989</v>
      </c>
      <c r="N41" s="34">
        <f>SUM(N30:N40)</f>
        <v>7254.5399999999991</v>
      </c>
      <c r="O41" s="34">
        <f t="shared" si="22"/>
        <v>0</v>
      </c>
      <c r="P41" s="34">
        <f>SUM(P30:P40)</f>
        <v>7116.1999999999989</v>
      </c>
      <c r="Q41" s="34">
        <f t="shared" si="22"/>
        <v>19946.740000000002</v>
      </c>
      <c r="R41" s="264">
        <f>SUM(R30:R40)</f>
        <v>41909.5</v>
      </c>
      <c r="S41" s="34">
        <f>SUM(S30:S40)</f>
        <v>3825.1027486392691</v>
      </c>
      <c r="T41" s="34">
        <f>SUM(T30:T40)</f>
        <v>12685.399999999998</v>
      </c>
      <c r="U41" s="34">
        <f>SUM(U30:U40)</f>
        <v>1237.5999999999999</v>
      </c>
      <c r="V41" s="34">
        <f>SUM(V30:V40)</f>
        <v>17748.102748639267</v>
      </c>
    </row>
    <row r="42" spans="2:22" ht="18.75" hidden="1" x14ac:dyDescent="0.3">
      <c r="C42" s="133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265"/>
    </row>
    <row r="43" spans="2:22" ht="18.75" x14ac:dyDescent="0.3">
      <c r="B43" s="2" t="s">
        <v>140</v>
      </c>
      <c r="C43" s="270" t="s">
        <v>64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265"/>
    </row>
    <row r="44" spans="2:22" ht="18.75" x14ac:dyDescent="0.3">
      <c r="B44" t="s">
        <v>133</v>
      </c>
      <c r="C44" s="133" t="s">
        <v>225</v>
      </c>
      <c r="D44" t="s">
        <v>243</v>
      </c>
      <c r="E44" s="15">
        <v>5350</v>
      </c>
      <c r="F44" s="29">
        <v>15</v>
      </c>
      <c r="G44" s="15"/>
      <c r="H44" s="15"/>
      <c r="I44" s="15"/>
      <c r="J44" s="20"/>
      <c r="K44" s="20">
        <f t="shared" ref="K44" si="23">E44-I44</f>
        <v>5350</v>
      </c>
      <c r="L44" s="20">
        <v>0</v>
      </c>
      <c r="M44" s="20">
        <v>588.20000000000005</v>
      </c>
      <c r="N44" s="20">
        <f t="shared" ref="N44" si="24">M44-L44</f>
        <v>588.20000000000005</v>
      </c>
      <c r="O44" s="15">
        <v>0</v>
      </c>
      <c r="P44" s="20"/>
      <c r="Q44" s="15">
        <f>SUM(N44:P44)+G44</f>
        <v>588.20000000000005</v>
      </c>
      <c r="R44" s="296">
        <f>K44-Q44</f>
        <v>4761.8</v>
      </c>
      <c r="S44" s="263">
        <f>+'[1]IMSS INCREMENTO 4%'!$AR$27/2</f>
        <v>340.00536160730593</v>
      </c>
      <c r="T44" s="263"/>
      <c r="U44" s="263"/>
      <c r="V44" s="35">
        <f t="shared" ref="V44" si="25">SUM(S44:U44)</f>
        <v>340.00536160730593</v>
      </c>
    </row>
    <row r="45" spans="2:22" ht="18.75" x14ac:dyDescent="0.3">
      <c r="B45" t="s">
        <v>152</v>
      </c>
      <c r="C45" s="133" t="s">
        <v>92</v>
      </c>
      <c r="D45" t="s">
        <v>244</v>
      </c>
      <c r="E45" s="15">
        <v>5564</v>
      </c>
      <c r="F45" s="29">
        <v>15</v>
      </c>
      <c r="G45" s="15"/>
      <c r="H45" s="15"/>
      <c r="I45" s="77"/>
      <c r="J45" s="15"/>
      <c r="K45" s="15">
        <f>E45-I45</f>
        <v>5564</v>
      </c>
      <c r="L45" s="15">
        <v>0</v>
      </c>
      <c r="M45" s="15">
        <v>633.91</v>
      </c>
      <c r="N45" s="67">
        <f>633.91+45.71</f>
        <v>679.62</v>
      </c>
      <c r="O45" s="15">
        <v>0</v>
      </c>
      <c r="P45" s="287">
        <f t="shared" ref="P45" si="26">E45*0.115</f>
        <v>639.86</v>
      </c>
      <c r="Q45" s="15">
        <f>SUM(N45:P45)+G45</f>
        <v>1319.48</v>
      </c>
      <c r="R45" s="296">
        <f>K45-Q45</f>
        <v>4244.5200000000004</v>
      </c>
      <c r="S45" s="263">
        <f>+'[1]IMSS INCREMENTO 4%'!$AR$28/2</f>
        <v>346.01175335159814</v>
      </c>
      <c r="T45" s="263">
        <f>+E45*17.5%+166.92</f>
        <v>1140.6199999999999</v>
      </c>
      <c r="U45" s="288">
        <f t="shared" ref="U45" si="27">+E45*2%</f>
        <v>111.28</v>
      </c>
      <c r="V45" s="35">
        <f t="shared" ref="V45" si="28">SUM(S45:U45)</f>
        <v>1597.911753351598</v>
      </c>
    </row>
    <row r="46" spans="2:22" ht="18.75" x14ac:dyDescent="0.3">
      <c r="B46" t="s">
        <v>220</v>
      </c>
      <c r="C46" s="133" t="s">
        <v>221</v>
      </c>
      <c r="D46" t="s">
        <v>222</v>
      </c>
      <c r="E46" s="15">
        <v>5350</v>
      </c>
      <c r="F46" s="29">
        <v>15</v>
      </c>
      <c r="G46" s="15"/>
      <c r="H46" s="15"/>
      <c r="I46" s="15"/>
      <c r="J46" s="15"/>
      <c r="K46" s="15">
        <f>E46-I46</f>
        <v>5350</v>
      </c>
      <c r="L46" s="15">
        <v>0</v>
      </c>
      <c r="M46" s="15">
        <v>588.20000000000005</v>
      </c>
      <c r="N46" s="15">
        <v>588.20000000000005</v>
      </c>
      <c r="O46" s="15">
        <v>0</v>
      </c>
      <c r="P46" s="15"/>
      <c r="Q46" s="15">
        <f>SUM(N46:P46)+G46</f>
        <v>588.20000000000005</v>
      </c>
      <c r="R46" s="296">
        <f>K46-Q46</f>
        <v>4761.8</v>
      </c>
      <c r="S46" s="263">
        <f>+'[1]IMSS INCREMENTO 4%'!$AR$29/2</f>
        <v>340.00536160730593</v>
      </c>
      <c r="T46" s="263"/>
      <c r="U46" s="263"/>
      <c r="V46" s="35">
        <f t="shared" ref="V46" si="29">SUM(S46:U46)</f>
        <v>340.00536160730593</v>
      </c>
    </row>
    <row r="47" spans="2:22" ht="18.75" x14ac:dyDescent="0.3">
      <c r="B47" s="2" t="s">
        <v>26</v>
      </c>
      <c r="C47" s="270"/>
      <c r="D47" s="30"/>
      <c r="E47" s="34">
        <f>E44+E45+E46</f>
        <v>16264</v>
      </c>
      <c r="F47" s="34"/>
      <c r="G47" s="34">
        <f t="shared" ref="G47:V47" si="30">G44+G45+G46</f>
        <v>0</v>
      </c>
      <c r="H47" s="34">
        <f t="shared" si="30"/>
        <v>0</v>
      </c>
      <c r="I47" s="34">
        <f>I44+I45+I46</f>
        <v>0</v>
      </c>
      <c r="J47" s="34">
        <f t="shared" si="30"/>
        <v>0</v>
      </c>
      <c r="K47" s="34">
        <f t="shared" si="30"/>
        <v>16264</v>
      </c>
      <c r="L47" s="34">
        <f t="shared" si="30"/>
        <v>0</v>
      </c>
      <c r="M47" s="34">
        <f t="shared" si="30"/>
        <v>1810.3100000000002</v>
      </c>
      <c r="N47" s="34">
        <f t="shared" si="30"/>
        <v>1856.0200000000002</v>
      </c>
      <c r="O47" s="34">
        <f t="shared" si="30"/>
        <v>0</v>
      </c>
      <c r="P47" s="34">
        <f t="shared" si="30"/>
        <v>639.86</v>
      </c>
      <c r="Q47" s="34">
        <f t="shared" si="30"/>
        <v>2495.88</v>
      </c>
      <c r="R47" s="264">
        <f>R44+R45+R46</f>
        <v>13768.119999999999</v>
      </c>
      <c r="S47" s="34">
        <f t="shared" si="30"/>
        <v>1026.0224765662101</v>
      </c>
      <c r="T47" s="34">
        <f t="shared" si="30"/>
        <v>1140.6199999999999</v>
      </c>
      <c r="U47" s="34">
        <f t="shared" si="30"/>
        <v>111.28</v>
      </c>
      <c r="V47" s="34">
        <f t="shared" si="30"/>
        <v>2277.9224765662098</v>
      </c>
    </row>
    <row r="48" spans="2:22" ht="18.75" hidden="1" x14ac:dyDescent="0.3">
      <c r="B48" s="2"/>
      <c r="C48" s="133"/>
      <c r="E48" s="15"/>
      <c r="F48" s="15"/>
      <c r="G48" s="15"/>
      <c r="H48" s="15"/>
      <c r="I48" s="15"/>
      <c r="J48" s="15"/>
      <c r="K48" s="16"/>
      <c r="L48" s="16"/>
      <c r="M48" s="16"/>
      <c r="N48" s="16"/>
      <c r="O48" s="16"/>
      <c r="P48" s="16"/>
      <c r="Q48" s="16"/>
      <c r="R48" s="267"/>
      <c r="S48" s="8"/>
      <c r="T48" s="8"/>
      <c r="U48" s="8"/>
      <c r="V48" s="8"/>
    </row>
    <row r="49" spans="2:22" ht="18.75" x14ac:dyDescent="0.3">
      <c r="B49" s="2" t="s">
        <v>161</v>
      </c>
      <c r="C49" s="270" t="s">
        <v>162</v>
      </c>
      <c r="E49" s="15"/>
      <c r="F49" s="15"/>
      <c r="G49" s="15"/>
      <c r="H49" s="15"/>
      <c r="I49" s="15"/>
      <c r="J49" s="15"/>
      <c r="K49" s="16"/>
      <c r="L49" s="16"/>
      <c r="M49" s="16"/>
      <c r="N49" s="16"/>
      <c r="O49" s="16"/>
      <c r="P49" s="16"/>
      <c r="Q49" s="16"/>
      <c r="R49" s="267"/>
      <c r="S49" s="8"/>
      <c r="T49" s="8"/>
      <c r="U49" s="8"/>
      <c r="V49" s="8"/>
    </row>
    <row r="50" spans="2:22" ht="18.75" x14ac:dyDescent="0.3">
      <c r="B50" t="s">
        <v>163</v>
      </c>
      <c r="C50" s="269" t="s">
        <v>42</v>
      </c>
      <c r="D50" t="s">
        <v>230</v>
      </c>
      <c r="E50" s="15">
        <v>10400</v>
      </c>
      <c r="F50" s="29">
        <v>15</v>
      </c>
      <c r="G50" s="15"/>
      <c r="H50" s="15"/>
      <c r="I50" s="15"/>
      <c r="J50" s="15"/>
      <c r="K50" s="15">
        <f>E50-I50</f>
        <v>10400</v>
      </c>
      <c r="L50" s="15">
        <v>0</v>
      </c>
      <c r="M50" s="15">
        <v>1667.21</v>
      </c>
      <c r="N50" s="15">
        <f>M50-L50</f>
        <v>1667.21</v>
      </c>
      <c r="O50" s="15">
        <v>0</v>
      </c>
      <c r="P50" s="287">
        <f>E50*0.115</f>
        <v>1196</v>
      </c>
      <c r="Q50" s="15">
        <f>SUM(N50:P50)+G50</f>
        <v>2863.21</v>
      </c>
      <c r="R50" s="296">
        <f>K50-Q50</f>
        <v>7536.79</v>
      </c>
      <c r="S50" s="263">
        <f>+'[1]IMSS INCREMENTO 4%'!$AR$30/2</f>
        <v>481.74497987214613</v>
      </c>
      <c r="T50" s="263">
        <f>+E50*17.5%+312</f>
        <v>2132</v>
      </c>
      <c r="U50" s="288">
        <f t="shared" ref="U50" si="31">+E50*2%</f>
        <v>208</v>
      </c>
      <c r="V50" s="35">
        <f t="shared" ref="V50" si="32">SUM(S50:U50)</f>
        <v>2821.7449798721464</v>
      </c>
    </row>
    <row r="51" spans="2:22" ht="18.75" x14ac:dyDescent="0.3">
      <c r="B51" s="2" t="s">
        <v>26</v>
      </c>
      <c r="E51" s="34">
        <f>E50</f>
        <v>10400</v>
      </c>
      <c r="F51" s="34"/>
      <c r="G51" s="34">
        <f>+G50</f>
        <v>0</v>
      </c>
      <c r="H51" s="34"/>
      <c r="I51" s="34">
        <f>I50</f>
        <v>0</v>
      </c>
      <c r="J51" s="34">
        <f>J50</f>
        <v>0</v>
      </c>
      <c r="K51" s="34">
        <f>K50</f>
        <v>10400</v>
      </c>
      <c r="L51" s="34">
        <f t="shared" ref="L51:V51" si="33">L50</f>
        <v>0</v>
      </c>
      <c r="M51" s="34">
        <f t="shared" si="33"/>
        <v>1667.21</v>
      </c>
      <c r="N51" s="34">
        <f t="shared" si="33"/>
        <v>1667.21</v>
      </c>
      <c r="O51" s="34">
        <f t="shared" si="33"/>
        <v>0</v>
      </c>
      <c r="P51" s="34">
        <f>P50</f>
        <v>1196</v>
      </c>
      <c r="Q51" s="34">
        <f t="shared" si="33"/>
        <v>2863.21</v>
      </c>
      <c r="R51" s="264">
        <f>R50</f>
        <v>7536.79</v>
      </c>
      <c r="S51" s="34">
        <f t="shared" si="33"/>
        <v>481.74497987214613</v>
      </c>
      <c r="T51" s="34">
        <f t="shared" si="33"/>
        <v>2132</v>
      </c>
      <c r="U51" s="34">
        <f t="shared" si="33"/>
        <v>208</v>
      </c>
      <c r="V51" s="34">
        <f t="shared" si="33"/>
        <v>2821.7449798721464</v>
      </c>
    </row>
    <row r="52" spans="2:22" ht="12" customHeight="1" x14ac:dyDescent="0.3">
      <c r="B52" s="2"/>
      <c r="E52" s="15"/>
      <c r="F52" s="15"/>
      <c r="G52" s="15"/>
      <c r="H52" s="15"/>
      <c r="I52" s="15"/>
      <c r="J52" s="15"/>
      <c r="K52" s="16"/>
      <c r="L52" s="16"/>
      <c r="M52" s="16"/>
      <c r="N52" s="16"/>
      <c r="O52" s="16"/>
      <c r="P52" s="16"/>
      <c r="Q52" s="16"/>
      <c r="R52" s="267"/>
      <c r="S52" s="8"/>
      <c r="T52" s="8"/>
      <c r="U52" s="8"/>
      <c r="V52" s="8"/>
    </row>
    <row r="53" spans="2:22" ht="18.75" hidden="1" x14ac:dyDescent="0.3">
      <c r="R53" s="268"/>
    </row>
    <row r="54" spans="2:22" ht="18.75" x14ac:dyDescent="0.3">
      <c r="C54" s="53" t="s">
        <v>105</v>
      </c>
      <c r="E54" s="17">
        <f>E9+E20+E27+E41+E47+E51</f>
        <v>176261.15</v>
      </c>
      <c r="F54" s="17"/>
      <c r="G54" s="17">
        <f>G9+G20+G27+G41+G47+G51</f>
        <v>17954.62</v>
      </c>
      <c r="H54" s="17"/>
      <c r="I54" s="17">
        <f t="shared" ref="I54:V54" si="34">I9+I20+I27+I41+I47+I51</f>
        <v>31.540000000000003</v>
      </c>
      <c r="J54" s="17">
        <f t="shared" si="34"/>
        <v>0</v>
      </c>
      <c r="K54" s="17">
        <f t="shared" si="34"/>
        <v>176229.61</v>
      </c>
      <c r="L54" s="17">
        <f t="shared" si="34"/>
        <v>274.08999999999997</v>
      </c>
      <c r="M54" s="17">
        <f t="shared" si="34"/>
        <v>22102.894999999997</v>
      </c>
      <c r="N54" s="17">
        <f t="shared" si="34"/>
        <v>22011.644999999997</v>
      </c>
      <c r="O54" s="17">
        <f t="shared" si="34"/>
        <v>0</v>
      </c>
      <c r="P54" s="17">
        <f t="shared" si="34"/>
        <v>17809.022249999998</v>
      </c>
      <c r="Q54" s="17">
        <f t="shared" si="34"/>
        <v>57775.287249999994</v>
      </c>
      <c r="R54" s="54">
        <f>R9+R20+R27+R41+R47+R51</f>
        <v>118454.32274999999</v>
      </c>
      <c r="S54" s="17">
        <f t="shared" si="34"/>
        <v>10452.687379414356</v>
      </c>
      <c r="T54" s="17">
        <f t="shared" si="34"/>
        <v>31746.531249999996</v>
      </c>
      <c r="U54" s="17">
        <f t="shared" si="34"/>
        <v>3097.223</v>
      </c>
      <c r="V54" s="55">
        <f t="shared" si="34"/>
        <v>45296.441629414359</v>
      </c>
    </row>
    <row r="63" spans="2:22" ht="16.5" thickBot="1" x14ac:dyDescent="0.3">
      <c r="E63" s="375"/>
      <c r="F63" s="375"/>
      <c r="G63" s="289"/>
      <c r="H63" s="289"/>
      <c r="P63" s="376"/>
      <c r="Q63" s="376"/>
    </row>
    <row r="64" spans="2:22" ht="15" x14ac:dyDescent="0.25">
      <c r="E64" s="377" t="s">
        <v>177</v>
      </c>
      <c r="F64" s="377"/>
      <c r="G64" s="290"/>
      <c r="H64" s="290"/>
      <c r="P64" s="26"/>
      <c r="Q64" s="26"/>
      <c r="R64" s="378" t="s">
        <v>157</v>
      </c>
      <c r="S64" s="378"/>
      <c r="T64" s="289"/>
    </row>
    <row r="68" spans="3:3" x14ac:dyDescent="0.25">
      <c r="C68" t="s">
        <v>174</v>
      </c>
    </row>
  </sheetData>
  <mergeCells count="5">
    <mergeCell ref="B4:V4"/>
    <mergeCell ref="E63:F63"/>
    <mergeCell ref="P63:Q63"/>
    <mergeCell ref="E64:F64"/>
    <mergeCell ref="R64:S64"/>
  </mergeCells>
  <pageMargins left="0.51181102362204722" right="0.51181102362204722" top="0.15748031496062992" bottom="0.35433070866141736" header="0.31496062992125984" footer="0.31496062992125984"/>
  <pageSetup scale="42" fitToHeight="0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W68"/>
  <sheetViews>
    <sheetView zoomScale="85" zoomScaleNormal="85" workbookViewId="0">
      <selection activeCell="R46" sqref="R46"/>
    </sheetView>
  </sheetViews>
  <sheetFormatPr baseColWidth="10" defaultRowHeight="18.75" x14ac:dyDescent="0.3"/>
  <cols>
    <col min="1" max="1" width="0.7109375" customWidth="1"/>
    <col min="2" max="2" width="17.140625" customWidth="1"/>
    <col min="3" max="3" width="36.5703125" customWidth="1"/>
    <col min="4" max="4" width="28" customWidth="1"/>
    <col min="5" max="5" width="18.42578125" customWidth="1"/>
    <col min="6" max="6" width="12.7109375" customWidth="1"/>
    <col min="7" max="7" width="12.28515625" customWidth="1"/>
    <col min="8" max="8" width="14.140625" hidden="1" customWidth="1"/>
    <col min="9" max="9" width="12.7109375" bestFit="1" customWidth="1"/>
    <col min="10" max="10" width="13.140625" customWidth="1"/>
    <col min="11" max="11" width="15.85546875" customWidth="1"/>
    <col min="12" max="12" width="9.42578125" customWidth="1"/>
    <col min="13" max="13" width="14.42578125" hidden="1" customWidth="1"/>
    <col min="14" max="14" width="14.42578125" customWidth="1"/>
    <col min="15" max="15" width="11.42578125" hidden="1" customWidth="1"/>
    <col min="16" max="16" width="12.85546875" customWidth="1"/>
    <col min="17" max="17" width="16.5703125" customWidth="1"/>
    <col min="18" max="18" width="18.28515625" style="268" customWidth="1"/>
    <col min="19" max="19" width="16.140625" customWidth="1"/>
    <col min="20" max="20" width="20" customWidth="1"/>
    <col min="21" max="21" width="14.85546875" customWidth="1"/>
    <col min="22" max="22" width="17" customWidth="1"/>
  </cols>
  <sheetData>
    <row r="3" spans="2:23" x14ac:dyDescent="0.3"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265"/>
    </row>
    <row r="4" spans="2:23" ht="16.5" customHeight="1" x14ac:dyDescent="0.25">
      <c r="B4" s="380" t="s">
        <v>250</v>
      </c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</row>
    <row r="5" spans="2:23" s="56" customFormat="1" ht="68.25" customHeight="1" x14ac:dyDescent="0.25">
      <c r="B5" s="120" t="s">
        <v>9</v>
      </c>
      <c r="C5" s="119" t="s">
        <v>10</v>
      </c>
      <c r="D5" s="103" t="s">
        <v>0</v>
      </c>
      <c r="E5" s="61" t="s">
        <v>11</v>
      </c>
      <c r="F5" s="100" t="s">
        <v>150</v>
      </c>
      <c r="G5" s="117" t="s">
        <v>180</v>
      </c>
      <c r="H5" s="118" t="s">
        <v>182</v>
      </c>
      <c r="I5" s="97" t="s">
        <v>169</v>
      </c>
      <c r="J5" s="103" t="s">
        <v>251</v>
      </c>
      <c r="K5" s="103" t="s">
        <v>12</v>
      </c>
      <c r="L5" s="99" t="s">
        <v>107</v>
      </c>
      <c r="M5" s="100" t="s">
        <v>143</v>
      </c>
      <c r="N5" s="100" t="s">
        <v>13</v>
      </c>
      <c r="O5" s="101" t="s">
        <v>171</v>
      </c>
      <c r="P5" s="116" t="s">
        <v>16</v>
      </c>
      <c r="Q5" s="115" t="s">
        <v>17</v>
      </c>
      <c r="R5" s="298" t="s">
        <v>72</v>
      </c>
      <c r="S5" s="99" t="s">
        <v>8</v>
      </c>
      <c r="T5" s="99" t="s">
        <v>252</v>
      </c>
      <c r="U5" s="123" t="s">
        <v>18</v>
      </c>
      <c r="V5" s="123" t="s">
        <v>73</v>
      </c>
      <c r="W5" s="102"/>
    </row>
    <row r="6" spans="2:23" x14ac:dyDescent="0.3">
      <c r="B6" s="107" t="s">
        <v>19</v>
      </c>
      <c r="C6" s="121" t="s">
        <v>20</v>
      </c>
      <c r="D6" s="121"/>
      <c r="E6" s="95"/>
      <c r="F6" s="15"/>
      <c r="G6" s="114"/>
      <c r="H6" s="15"/>
      <c r="I6" s="95"/>
      <c r="J6" s="95"/>
      <c r="K6" s="95"/>
      <c r="L6" s="15"/>
      <c r="M6" s="15"/>
      <c r="N6" s="15"/>
      <c r="O6" s="95"/>
      <c r="P6" s="15"/>
      <c r="Q6" s="95"/>
      <c r="R6" s="265"/>
    </row>
    <row r="7" spans="2:23" x14ac:dyDescent="0.3">
      <c r="B7" t="s">
        <v>21</v>
      </c>
      <c r="C7" s="269" t="s">
        <v>22</v>
      </c>
      <c r="D7" t="s">
        <v>25</v>
      </c>
      <c r="E7" s="15">
        <v>17633.150000000001</v>
      </c>
      <c r="F7" s="29">
        <v>15</v>
      </c>
      <c r="G7" s="297">
        <v>2700</v>
      </c>
      <c r="H7" s="15"/>
      <c r="I7" s="15"/>
      <c r="J7" s="15">
        <v>2934.95</v>
      </c>
      <c r="K7" s="15">
        <f>E7-I7+J7</f>
        <v>20568.100000000002</v>
      </c>
      <c r="L7" s="15">
        <v>0</v>
      </c>
      <c r="M7" s="297">
        <f>3450.395+880.48+1765.09</f>
        <v>6095.9650000000001</v>
      </c>
      <c r="N7" s="20">
        <f>M7-L7</f>
        <v>6095.9650000000001</v>
      </c>
      <c r="O7" s="15">
        <v>0</v>
      </c>
      <c r="P7" s="287">
        <f>E7*0.115-0.01</f>
        <v>2027.8022500000002</v>
      </c>
      <c r="Q7" s="15">
        <f>SUM(N7:P7)+G7</f>
        <v>10823.767250000001</v>
      </c>
      <c r="R7" s="284">
        <f>K7-Q7</f>
        <v>9744.3327500000014</v>
      </c>
      <c r="S7" s="263">
        <f>+'[1]IMSS INCREMENTO 4%'!$AR$2/2</f>
        <v>684.75956133216448</v>
      </c>
      <c r="T7" s="263">
        <f>+E7*17.5%+528.99</f>
        <v>3614.7912500000002</v>
      </c>
      <c r="U7" s="288">
        <f>+E7*2%</f>
        <v>352.66300000000001</v>
      </c>
      <c r="V7" s="35">
        <f>SUM(S7:U7)</f>
        <v>4652.2138113321653</v>
      </c>
    </row>
    <row r="8" spans="2:23" x14ac:dyDescent="0.3">
      <c r="B8" t="s">
        <v>23</v>
      </c>
      <c r="C8" s="269" t="s">
        <v>24</v>
      </c>
      <c r="D8" t="s">
        <v>3</v>
      </c>
      <c r="E8" s="15">
        <v>5044</v>
      </c>
      <c r="F8" s="29">
        <v>15</v>
      </c>
      <c r="G8" s="297">
        <v>809</v>
      </c>
      <c r="H8" s="15"/>
      <c r="I8" s="15"/>
      <c r="J8" s="15">
        <v>839.55</v>
      </c>
      <c r="K8" s="15">
        <f>E8-I8+J8</f>
        <v>5883.55</v>
      </c>
      <c r="L8" s="15">
        <v>0</v>
      </c>
      <c r="M8" s="297">
        <f>526.46+172.08+132.85</f>
        <v>831.3900000000001</v>
      </c>
      <c r="N8" s="20">
        <f>M8-L8</f>
        <v>831.3900000000001</v>
      </c>
      <c r="O8" s="15">
        <v>0</v>
      </c>
      <c r="P8" s="287">
        <f>E8*0.115</f>
        <v>580.06000000000006</v>
      </c>
      <c r="Q8" s="15">
        <f>SUM(N8:P8)+G8</f>
        <v>2220.4500000000003</v>
      </c>
      <c r="R8" s="284">
        <f>K8-Q8</f>
        <v>3663.1</v>
      </c>
      <c r="S8" s="263">
        <f>+'[1]IMSS INCREMENTO 4%'!$AR$3/2</f>
        <v>331.41678275799086</v>
      </c>
      <c r="T8" s="263">
        <f>+E8*17.5%+151.32</f>
        <v>1034.02</v>
      </c>
      <c r="U8" s="288">
        <f>+E8*2%</f>
        <v>100.88</v>
      </c>
      <c r="V8" s="35">
        <f>SUM(S8:U8)</f>
        <v>1466.3167827579909</v>
      </c>
    </row>
    <row r="9" spans="2:23" x14ac:dyDescent="0.3">
      <c r="B9" s="7" t="s">
        <v>26</v>
      </c>
      <c r="C9" s="270"/>
      <c r="D9" s="30"/>
      <c r="E9" s="34">
        <f>SUM(E7:E8)</f>
        <v>22677.15</v>
      </c>
      <c r="F9" s="34"/>
      <c r="G9" s="34">
        <f>+G8+G7</f>
        <v>3509</v>
      </c>
      <c r="H9" s="34"/>
      <c r="I9" s="34">
        <f t="shared" ref="I9:V9" si="0">SUM(I7:I8)</f>
        <v>0</v>
      </c>
      <c r="J9" s="34">
        <f t="shared" si="0"/>
        <v>3774.5</v>
      </c>
      <c r="K9" s="34">
        <f t="shared" si="0"/>
        <v>26451.65</v>
      </c>
      <c r="L9" s="34">
        <f t="shared" si="0"/>
        <v>0</v>
      </c>
      <c r="M9" s="34">
        <f t="shared" si="0"/>
        <v>6927.3550000000005</v>
      </c>
      <c r="N9" s="34">
        <f t="shared" si="0"/>
        <v>6927.3550000000005</v>
      </c>
      <c r="O9" s="34">
        <f t="shared" si="0"/>
        <v>0</v>
      </c>
      <c r="P9" s="34">
        <f>SUM(P7:P8)</f>
        <v>2607.8622500000001</v>
      </c>
      <c r="Q9" s="34">
        <f t="shared" si="0"/>
        <v>13044.217250000002</v>
      </c>
      <c r="R9" s="264">
        <f>SUM(R7:R8)</f>
        <v>13407.432750000002</v>
      </c>
      <c r="S9" s="34">
        <f t="shared" si="0"/>
        <v>1016.1763440901553</v>
      </c>
      <c r="T9" s="34">
        <f t="shared" si="0"/>
        <v>4648.8112500000007</v>
      </c>
      <c r="U9" s="34">
        <f t="shared" si="0"/>
        <v>453.54300000000001</v>
      </c>
      <c r="V9" s="34">
        <f t="shared" si="0"/>
        <v>6118.5305940901562</v>
      </c>
    </row>
    <row r="10" spans="2:23" ht="10.5" hidden="1" customHeight="1" x14ac:dyDescent="0.3">
      <c r="C10" s="133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265"/>
    </row>
    <row r="11" spans="2:23" x14ac:dyDescent="0.3">
      <c r="B11" s="2" t="s">
        <v>27</v>
      </c>
      <c r="C11" s="270" t="s">
        <v>28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265"/>
    </row>
    <row r="12" spans="2:23" x14ac:dyDescent="0.3">
      <c r="B12" t="s">
        <v>32</v>
      </c>
      <c r="C12" s="269" t="s">
        <v>37</v>
      </c>
      <c r="D12" t="s">
        <v>230</v>
      </c>
      <c r="E12" s="15">
        <v>10400</v>
      </c>
      <c r="F12" s="29">
        <v>15</v>
      </c>
      <c r="G12" s="297">
        <v>3334</v>
      </c>
      <c r="H12" s="15"/>
      <c r="I12" s="15"/>
      <c r="J12" s="15">
        <v>1731.02</v>
      </c>
      <c r="K12" s="15">
        <f>E12-I12+J12</f>
        <v>12131.02</v>
      </c>
      <c r="L12" s="15">
        <v>0</v>
      </c>
      <c r="M12" s="297">
        <f>1667.21+407.12</f>
        <v>2074.33</v>
      </c>
      <c r="N12" s="15">
        <f t="shared" ref="N12:N17" si="1">M12-L12</f>
        <v>2074.33</v>
      </c>
      <c r="O12" s="15">
        <v>0</v>
      </c>
      <c r="P12" s="287">
        <f t="shared" ref="P12:P19" si="2">E12*0.115</f>
        <v>1196</v>
      </c>
      <c r="Q12" s="15">
        <f t="shared" ref="Q12:Q19" si="3">SUM(N12:P12)+G12</f>
        <v>6604.33</v>
      </c>
      <c r="R12" s="284">
        <f t="shared" ref="R12:R19" si="4">K12-Q12</f>
        <v>5526.6900000000005</v>
      </c>
      <c r="S12" s="263">
        <f>+'[1]IMSS INCREMENTO 4%'!$AR$4/2</f>
        <v>481.74497987214613</v>
      </c>
      <c r="T12" s="263">
        <f>+E12*17.5%+312</f>
        <v>2132</v>
      </c>
      <c r="U12" s="288">
        <f t="shared" ref="U12:U19" si="5">+E12*2%</f>
        <v>208</v>
      </c>
      <c r="V12" s="35">
        <f t="shared" ref="V12:V19" si="6">SUM(S12:U12)</f>
        <v>2821.7449798721464</v>
      </c>
    </row>
    <row r="13" spans="2:23" x14ac:dyDescent="0.3">
      <c r="B13" t="s">
        <v>33</v>
      </c>
      <c r="C13" s="269" t="s">
        <v>38</v>
      </c>
      <c r="D13" t="s">
        <v>232</v>
      </c>
      <c r="E13" s="15">
        <v>5564</v>
      </c>
      <c r="F13" s="29">
        <v>15</v>
      </c>
      <c r="G13" s="15"/>
      <c r="H13" s="15"/>
      <c r="I13" s="77"/>
      <c r="J13" s="19">
        <v>926.09</v>
      </c>
      <c r="K13" s="15">
        <f>E13-I13+J13</f>
        <v>6490.09</v>
      </c>
      <c r="L13" s="15">
        <v>0</v>
      </c>
      <c r="M13" s="297">
        <f>633.91+197.81+354.66</f>
        <v>1186.3800000000001</v>
      </c>
      <c r="N13" s="15">
        <f t="shared" si="1"/>
        <v>1186.3800000000001</v>
      </c>
      <c r="O13" s="15">
        <v>0</v>
      </c>
      <c r="P13" s="287">
        <f t="shared" si="2"/>
        <v>639.86</v>
      </c>
      <c r="Q13" s="15">
        <f>SUM(N13:P13)+G13</f>
        <v>1826.2400000000002</v>
      </c>
      <c r="R13" s="284">
        <f t="shared" si="4"/>
        <v>4663.8500000000004</v>
      </c>
      <c r="S13" s="263">
        <f>+'[1]IMSS INCREMENTO 4%'!$AR$5/2</f>
        <v>346.01175335159814</v>
      </c>
      <c r="T13" s="263">
        <f>+E13*17.5%+166.92</f>
        <v>1140.6199999999999</v>
      </c>
      <c r="U13" s="288">
        <f t="shared" si="5"/>
        <v>111.28</v>
      </c>
      <c r="V13" s="35">
        <f t="shared" si="6"/>
        <v>1597.911753351598</v>
      </c>
    </row>
    <row r="14" spans="2:23" x14ac:dyDescent="0.3">
      <c r="B14" t="s">
        <v>34</v>
      </c>
      <c r="C14" s="269" t="s">
        <v>178</v>
      </c>
      <c r="D14" t="s">
        <v>231</v>
      </c>
      <c r="E14" s="15">
        <v>5564</v>
      </c>
      <c r="F14" s="29">
        <v>15</v>
      </c>
      <c r="G14" s="15"/>
      <c r="H14" s="20"/>
      <c r="I14" s="77"/>
      <c r="J14" s="19">
        <v>926.09</v>
      </c>
      <c r="K14" s="15">
        <f>+E14+H14-I14+J14</f>
        <v>6490.09</v>
      </c>
      <c r="L14" s="15">
        <v>0</v>
      </c>
      <c r="M14" s="297">
        <f>633.91+197.81</f>
        <v>831.72</v>
      </c>
      <c r="N14" s="15">
        <f t="shared" si="1"/>
        <v>831.72</v>
      </c>
      <c r="O14" s="15">
        <v>0</v>
      </c>
      <c r="P14" s="287">
        <f t="shared" si="2"/>
        <v>639.86</v>
      </c>
      <c r="Q14" s="15">
        <f t="shared" si="3"/>
        <v>1471.58</v>
      </c>
      <c r="R14" s="284">
        <f t="shared" si="4"/>
        <v>5018.51</v>
      </c>
      <c r="S14" s="263">
        <f>+'[1]IMSS INCREMENTO 4%'!$AR$6/2</f>
        <v>346.01175335159814</v>
      </c>
      <c r="T14" s="263">
        <f>+E14*17.5%+166.92</f>
        <v>1140.6199999999999</v>
      </c>
      <c r="U14" s="288">
        <f t="shared" si="5"/>
        <v>111.28</v>
      </c>
      <c r="V14" s="35">
        <f t="shared" si="6"/>
        <v>1597.911753351598</v>
      </c>
    </row>
    <row r="15" spans="2:23" x14ac:dyDescent="0.3">
      <c r="B15" t="s">
        <v>35</v>
      </c>
      <c r="C15" s="133" t="s">
        <v>111</v>
      </c>
      <c r="D15" t="s">
        <v>77</v>
      </c>
      <c r="E15" s="15">
        <v>6240</v>
      </c>
      <c r="F15" s="29">
        <v>15</v>
      </c>
      <c r="G15" s="15"/>
      <c r="H15" s="15"/>
      <c r="I15" s="15"/>
      <c r="J15" s="15">
        <v>1038.6099999999999</v>
      </c>
      <c r="K15" s="15">
        <f>E15-I15+J15</f>
        <v>7278.61</v>
      </c>
      <c r="L15" s="15">
        <v>0</v>
      </c>
      <c r="M15" s="297">
        <f>778.31+221.84+221.89</f>
        <v>1222.04</v>
      </c>
      <c r="N15" s="15">
        <f t="shared" si="1"/>
        <v>1222.04</v>
      </c>
      <c r="O15" s="15">
        <v>0</v>
      </c>
      <c r="P15" s="287">
        <f t="shared" si="2"/>
        <v>717.6</v>
      </c>
      <c r="Q15" s="15">
        <f t="shared" si="3"/>
        <v>1939.6399999999999</v>
      </c>
      <c r="R15" s="284">
        <f t="shared" si="4"/>
        <v>5338.9699999999993</v>
      </c>
      <c r="S15" s="263">
        <f>+'[1]IMSS INCREMENTO 4%'!$AR$7/2</f>
        <v>364.98521512328773</v>
      </c>
      <c r="T15" s="263">
        <f>+E15*17.5%+187.2</f>
        <v>1279.2</v>
      </c>
      <c r="U15" s="288">
        <f t="shared" si="5"/>
        <v>124.8</v>
      </c>
      <c r="V15" s="35">
        <f t="shared" si="6"/>
        <v>1768.9852151232878</v>
      </c>
    </row>
    <row r="16" spans="2:23" x14ac:dyDescent="0.3">
      <c r="B16" t="s">
        <v>36</v>
      </c>
      <c r="C16" s="133" t="s">
        <v>86</v>
      </c>
      <c r="D16" t="s">
        <v>233</v>
      </c>
      <c r="E16" s="15">
        <v>4680</v>
      </c>
      <c r="F16" s="29">
        <v>15</v>
      </c>
      <c r="G16" s="297">
        <v>1000</v>
      </c>
      <c r="H16" s="15"/>
      <c r="I16" s="77">
        <v>3.7</v>
      </c>
      <c r="J16" s="15">
        <v>778.96</v>
      </c>
      <c r="K16" s="15">
        <f>E16-I16+J16</f>
        <v>5455.26</v>
      </c>
      <c r="L16" s="15">
        <v>0</v>
      </c>
      <c r="M16" s="297">
        <f>461.23+139.6</f>
        <v>600.83000000000004</v>
      </c>
      <c r="N16" s="15">
        <f t="shared" si="1"/>
        <v>600.83000000000004</v>
      </c>
      <c r="O16" s="15">
        <v>0</v>
      </c>
      <c r="P16" s="287">
        <f t="shared" si="2"/>
        <v>538.20000000000005</v>
      </c>
      <c r="Q16" s="15">
        <f t="shared" si="3"/>
        <v>2139.0300000000002</v>
      </c>
      <c r="R16" s="284">
        <f t="shared" si="4"/>
        <v>3316.23</v>
      </c>
      <c r="S16" s="263">
        <f>+'[1]IMSS INCREMENTO 4%'!$AR$8/2</f>
        <v>321.20030334246576</v>
      </c>
      <c r="T16" s="263">
        <f>+E16*17.5%+140.4</f>
        <v>959.4</v>
      </c>
      <c r="U16" s="288">
        <f t="shared" si="5"/>
        <v>93.600000000000009</v>
      </c>
      <c r="V16" s="35">
        <f t="shared" si="6"/>
        <v>1374.2003033424658</v>
      </c>
    </row>
    <row r="17" spans="2:22" x14ac:dyDescent="0.3">
      <c r="B17" t="s">
        <v>115</v>
      </c>
      <c r="C17" s="133" t="s">
        <v>87</v>
      </c>
      <c r="D17" t="s">
        <v>234</v>
      </c>
      <c r="E17" s="15">
        <v>4680</v>
      </c>
      <c r="F17" s="29">
        <v>15</v>
      </c>
      <c r="G17" s="297">
        <v>1106.6199999999999</v>
      </c>
      <c r="H17" s="15"/>
      <c r="I17" s="15"/>
      <c r="J17" s="15">
        <v>778.96</v>
      </c>
      <c r="K17" s="15">
        <f>E17-I17+J17</f>
        <v>5458.96</v>
      </c>
      <c r="L17" s="15">
        <v>0</v>
      </c>
      <c r="M17" s="297">
        <f>461.23+139.6</f>
        <v>600.83000000000004</v>
      </c>
      <c r="N17" s="15">
        <f t="shared" si="1"/>
        <v>600.83000000000004</v>
      </c>
      <c r="O17" s="15">
        <v>0</v>
      </c>
      <c r="P17" s="287">
        <f t="shared" si="2"/>
        <v>538.20000000000005</v>
      </c>
      <c r="Q17" s="15">
        <f t="shared" si="3"/>
        <v>2245.65</v>
      </c>
      <c r="R17" s="284">
        <f t="shared" si="4"/>
        <v>3213.31</v>
      </c>
      <c r="S17" s="263">
        <f>+'[1]IMSS INCREMENTO 4%'!$AR$9/2</f>
        <v>321.20030334246576</v>
      </c>
      <c r="T17" s="263">
        <f>+E17*17.5%+140.4</f>
        <v>959.4</v>
      </c>
      <c r="U17" s="288">
        <f t="shared" si="5"/>
        <v>93.600000000000009</v>
      </c>
      <c r="V17" s="35">
        <f t="shared" si="6"/>
        <v>1374.2003033424658</v>
      </c>
    </row>
    <row r="18" spans="2:22" x14ac:dyDescent="0.3">
      <c r="B18" t="s">
        <v>116</v>
      </c>
      <c r="C18" s="133" t="s">
        <v>89</v>
      </c>
      <c r="D18" t="s">
        <v>4</v>
      </c>
      <c r="E18" s="15">
        <v>2808</v>
      </c>
      <c r="F18" s="29">
        <v>15</v>
      </c>
      <c r="G18" s="297">
        <v>600</v>
      </c>
      <c r="H18" s="15"/>
      <c r="I18" s="15"/>
      <c r="J18" s="15">
        <v>467.38</v>
      </c>
      <c r="K18" s="15">
        <f>E18-I18+J18</f>
        <v>3275.38</v>
      </c>
      <c r="L18" s="15">
        <v>147.32</v>
      </c>
      <c r="M18" s="297">
        <f>200.09+50.84+175.27</f>
        <v>426.20000000000005</v>
      </c>
      <c r="N18" s="15">
        <f>+M18-L18</f>
        <v>278.88000000000005</v>
      </c>
      <c r="O18" s="15">
        <v>0</v>
      </c>
      <c r="P18" s="287">
        <f t="shared" si="2"/>
        <v>322.92</v>
      </c>
      <c r="Q18" s="15">
        <f t="shared" si="3"/>
        <v>1201.8000000000002</v>
      </c>
      <c r="R18" s="284">
        <f t="shared" si="4"/>
        <v>2073.58</v>
      </c>
      <c r="S18" s="263">
        <f>+'[1]IMSS INCREMENTO 4%'!$AR$10/2</f>
        <v>268.65840920547942</v>
      </c>
      <c r="T18" s="263">
        <f>+E18*17.5%+84.24</f>
        <v>575.64</v>
      </c>
      <c r="U18" s="288">
        <f t="shared" si="5"/>
        <v>56.160000000000004</v>
      </c>
      <c r="V18" s="35">
        <f t="shared" si="6"/>
        <v>900.45840920547937</v>
      </c>
    </row>
    <row r="19" spans="2:22" x14ac:dyDescent="0.3">
      <c r="B19" t="s">
        <v>117</v>
      </c>
      <c r="C19" s="133" t="s">
        <v>88</v>
      </c>
      <c r="D19" t="s">
        <v>235</v>
      </c>
      <c r="E19" s="15">
        <v>3276</v>
      </c>
      <c r="F19" s="29">
        <v>15</v>
      </c>
      <c r="G19" s="297">
        <v>525</v>
      </c>
      <c r="H19" s="15"/>
      <c r="I19" s="15"/>
      <c r="J19" s="15">
        <v>545.27</v>
      </c>
      <c r="K19" s="15">
        <f>E19-I19+J19</f>
        <v>3821.27</v>
      </c>
      <c r="L19" s="15">
        <v>126.77</v>
      </c>
      <c r="M19" s="297">
        <f>251+59.32</f>
        <v>310.32</v>
      </c>
      <c r="N19" s="15">
        <f>+M19-L19</f>
        <v>183.55</v>
      </c>
      <c r="O19" s="15">
        <v>0</v>
      </c>
      <c r="P19" s="287">
        <f t="shared" si="2"/>
        <v>376.74</v>
      </c>
      <c r="Q19" s="15">
        <f t="shared" si="3"/>
        <v>1085.29</v>
      </c>
      <c r="R19" s="284">
        <f t="shared" si="4"/>
        <v>2735.98</v>
      </c>
      <c r="S19" s="263">
        <f>+'[1]IMSS INCREMENTO 4%'!$AR$11/2</f>
        <v>281.79388273972603</v>
      </c>
      <c r="T19" s="263">
        <f>+E19*17.5%+98.28</f>
        <v>671.57999999999993</v>
      </c>
      <c r="U19" s="288">
        <f t="shared" si="5"/>
        <v>65.52</v>
      </c>
      <c r="V19" s="35">
        <f t="shared" si="6"/>
        <v>1018.893882739726</v>
      </c>
    </row>
    <row r="20" spans="2:22" x14ac:dyDescent="0.3">
      <c r="B20" s="2" t="s">
        <v>26</v>
      </c>
      <c r="C20" s="270"/>
      <c r="D20" s="30"/>
      <c r="E20" s="34">
        <f>SUM(E12:E19)</f>
        <v>43212</v>
      </c>
      <c r="F20" s="34"/>
      <c r="G20" s="34">
        <f>+G19+G18+G17+G16+G12</f>
        <v>6565.62</v>
      </c>
      <c r="H20" s="34"/>
      <c r="I20" s="34">
        <f t="shared" ref="I20:V20" si="7">SUM(I12:I19)</f>
        <v>3.7</v>
      </c>
      <c r="J20" s="34">
        <f t="shared" si="7"/>
        <v>7192.380000000001</v>
      </c>
      <c r="K20" s="34">
        <f t="shared" si="7"/>
        <v>50400.679999999993</v>
      </c>
      <c r="L20" s="34">
        <f t="shared" si="7"/>
        <v>274.08999999999997</v>
      </c>
      <c r="M20" s="34">
        <f t="shared" si="7"/>
        <v>7252.65</v>
      </c>
      <c r="N20" s="34">
        <f t="shared" si="7"/>
        <v>6978.56</v>
      </c>
      <c r="O20" s="34">
        <f t="shared" si="7"/>
        <v>0</v>
      </c>
      <c r="P20" s="34">
        <f>SUM(P12:P19)</f>
        <v>4969.38</v>
      </c>
      <c r="Q20" s="34">
        <f t="shared" si="7"/>
        <v>18513.560000000001</v>
      </c>
      <c r="R20" s="264">
        <f>SUM(R12:R19)</f>
        <v>31887.119999999999</v>
      </c>
      <c r="S20" s="34">
        <f t="shared" si="7"/>
        <v>2731.6066003287674</v>
      </c>
      <c r="T20" s="34">
        <f t="shared" si="7"/>
        <v>8858.4599999999991</v>
      </c>
      <c r="U20" s="34">
        <f t="shared" si="7"/>
        <v>864.2399999999999</v>
      </c>
      <c r="V20" s="34">
        <f t="shared" si="7"/>
        <v>12454.306600328768</v>
      </c>
    </row>
    <row r="21" spans="2:22" hidden="1" x14ac:dyDescent="0.3">
      <c r="B21" s="2"/>
      <c r="C21" s="133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265"/>
    </row>
    <row r="22" spans="2:22" x14ac:dyDescent="0.3">
      <c r="B22" s="2" t="s">
        <v>50</v>
      </c>
      <c r="C22" s="270" t="s">
        <v>160</v>
      </c>
      <c r="E22" s="15"/>
      <c r="F22" s="15"/>
      <c r="G22" s="15"/>
      <c r="H22" s="15"/>
      <c r="I22" s="15"/>
      <c r="J22" s="15"/>
      <c r="K22" s="113"/>
      <c r="L22" s="113"/>
      <c r="M22" s="15"/>
      <c r="N22" s="15"/>
      <c r="O22" s="15"/>
      <c r="P22" s="15"/>
      <c r="Q22" s="15"/>
      <c r="R22" s="265"/>
    </row>
    <row r="23" spans="2:22" x14ac:dyDescent="0.3">
      <c r="B23" t="s">
        <v>119</v>
      </c>
      <c r="C23" s="133" t="s">
        <v>224</v>
      </c>
      <c r="D23" t="s">
        <v>236</v>
      </c>
      <c r="E23" s="15">
        <v>5350</v>
      </c>
      <c r="F23" s="29">
        <v>15</v>
      </c>
      <c r="G23" s="20"/>
      <c r="H23" s="15"/>
      <c r="I23" s="15"/>
      <c r="J23" s="15"/>
      <c r="K23" s="15">
        <f>E23-I23+J23</f>
        <v>5350</v>
      </c>
      <c r="L23" s="15">
        <v>0</v>
      </c>
      <c r="M23" s="297">
        <v>588.20000000000005</v>
      </c>
      <c r="N23" s="15">
        <f>M23-L23</f>
        <v>588.20000000000005</v>
      </c>
      <c r="O23" s="15">
        <v>0</v>
      </c>
      <c r="P23" s="20"/>
      <c r="Q23" s="15">
        <f>SUM(N23:P23)+G23</f>
        <v>588.20000000000005</v>
      </c>
      <c r="R23" s="284">
        <f>K23-Q23</f>
        <v>4761.8</v>
      </c>
      <c r="S23" s="263">
        <f>+'[1]IMSS INCREMENTO 4%'!$AR$13/2</f>
        <v>340.00536160730593</v>
      </c>
      <c r="T23" s="263"/>
      <c r="U23" s="263"/>
      <c r="V23" s="35">
        <f t="shared" ref="V23" si="8">SUM(S23:U23)</f>
        <v>340.00536160730593</v>
      </c>
    </row>
    <row r="24" spans="2:22" x14ac:dyDescent="0.3">
      <c r="B24" t="s">
        <v>228</v>
      </c>
      <c r="C24" s="133" t="s">
        <v>229</v>
      </c>
      <c r="D24" t="s">
        <v>237</v>
      </c>
      <c r="E24" s="15">
        <v>5350</v>
      </c>
      <c r="F24" s="29">
        <v>15</v>
      </c>
      <c r="G24" s="20"/>
      <c r="H24" s="15"/>
      <c r="I24" s="15"/>
      <c r="J24" s="15"/>
      <c r="K24" s="15">
        <f>E24-I24+J24</f>
        <v>5350</v>
      </c>
      <c r="L24" s="15">
        <v>0</v>
      </c>
      <c r="M24" s="297">
        <v>588.20000000000005</v>
      </c>
      <c r="N24" s="15">
        <f>M24-L24</f>
        <v>588.20000000000005</v>
      </c>
      <c r="O24" s="15">
        <v>0</v>
      </c>
      <c r="P24" s="20"/>
      <c r="Q24" s="15">
        <f>SUM(N24:P24)+G24</f>
        <v>588.20000000000005</v>
      </c>
      <c r="R24" s="284">
        <f>K24-Q24</f>
        <v>4761.8</v>
      </c>
      <c r="S24" s="263">
        <f>+'[1]IMSS INCREMENTO 4%'!$AR$12/2</f>
        <v>340.00536160730593</v>
      </c>
      <c r="T24" s="263"/>
      <c r="U24" s="263"/>
      <c r="V24" s="35">
        <f t="shared" ref="V24" si="9">SUM(S24:U24)</f>
        <v>340.00536160730593</v>
      </c>
    </row>
    <row r="25" spans="2:22" x14ac:dyDescent="0.3">
      <c r="B25" t="s">
        <v>120</v>
      </c>
      <c r="C25" s="133" t="s">
        <v>93</v>
      </c>
      <c r="D25" t="s">
        <v>238</v>
      </c>
      <c r="E25" s="15">
        <v>5564</v>
      </c>
      <c r="F25" s="29">
        <v>15</v>
      </c>
      <c r="G25" s="297">
        <v>1115</v>
      </c>
      <c r="H25" s="15"/>
      <c r="I25" s="71">
        <v>6.16</v>
      </c>
      <c r="J25" s="19">
        <v>926.09</v>
      </c>
      <c r="K25" s="15">
        <f>E25-I25+J25</f>
        <v>6483.93</v>
      </c>
      <c r="L25" s="15">
        <v>0</v>
      </c>
      <c r="M25" s="297">
        <f>633.91+197.81+353.48</f>
        <v>1185.2</v>
      </c>
      <c r="N25" s="15">
        <f>M25-L25</f>
        <v>1185.2</v>
      </c>
      <c r="O25" s="15">
        <v>0</v>
      </c>
      <c r="P25" s="287">
        <f>E25*0.115</f>
        <v>639.86</v>
      </c>
      <c r="Q25" s="15">
        <f>SUM(N25:P25)+G25</f>
        <v>2940.06</v>
      </c>
      <c r="R25" s="284">
        <f>K25-Q25</f>
        <v>3543.8700000000003</v>
      </c>
      <c r="S25" s="263">
        <f>+'[1]IMSS INCREMENTO 4%'!$AR$14/2</f>
        <v>346.01175335159814</v>
      </c>
      <c r="T25" s="263">
        <f>+E25*17.5%+166.92</f>
        <v>1140.6199999999999</v>
      </c>
      <c r="U25" s="288">
        <f>+E25*2%</f>
        <v>111.28</v>
      </c>
      <c r="V25" s="35">
        <f>SUM(S25:U25)</f>
        <v>1597.911753351598</v>
      </c>
    </row>
    <row r="26" spans="2:22" x14ac:dyDescent="0.3">
      <c r="B26" t="s">
        <v>121</v>
      </c>
      <c r="C26" s="133" t="s">
        <v>114</v>
      </c>
      <c r="D26" t="s">
        <v>237</v>
      </c>
      <c r="E26" s="15">
        <v>5564</v>
      </c>
      <c r="F26" s="29">
        <v>15</v>
      </c>
      <c r="G26" s="297">
        <v>1189</v>
      </c>
      <c r="H26" s="15"/>
      <c r="I26" s="77"/>
      <c r="J26" s="19">
        <v>926.09</v>
      </c>
      <c r="K26" s="15">
        <f>E26-I26+J26</f>
        <v>6490.09</v>
      </c>
      <c r="L26" s="15">
        <v>0</v>
      </c>
      <c r="M26" s="297">
        <f>633.91+197.81+352.57</f>
        <v>1184.29</v>
      </c>
      <c r="N26" s="15">
        <f>M26-L26</f>
        <v>1184.29</v>
      </c>
      <c r="O26" s="15">
        <v>0</v>
      </c>
      <c r="P26" s="287">
        <f>E26*0.115</f>
        <v>639.86</v>
      </c>
      <c r="Q26" s="15">
        <f>SUM(N26:P26)+G26</f>
        <v>3013.15</v>
      </c>
      <c r="R26" s="284">
        <f>K26-Q26</f>
        <v>3476.94</v>
      </c>
      <c r="S26" s="263">
        <f>+'[1]IMSS INCREMENTO 4%'!$AR$15/2</f>
        <v>346.01175335159814</v>
      </c>
      <c r="T26" s="263">
        <f>+E26*17.5%+166.92</f>
        <v>1140.6199999999999</v>
      </c>
      <c r="U26" s="288">
        <f>+E26*2%</f>
        <v>111.28</v>
      </c>
      <c r="V26" s="35">
        <f>SUM(S26:U26)</f>
        <v>1597.911753351598</v>
      </c>
    </row>
    <row r="27" spans="2:22" x14ac:dyDescent="0.3">
      <c r="B27" s="2" t="s">
        <v>26</v>
      </c>
      <c r="C27" s="270"/>
      <c r="D27" s="30"/>
      <c r="E27" s="34">
        <f>SUM(E23:E26)</f>
        <v>21828</v>
      </c>
      <c r="F27" s="34"/>
      <c r="G27" s="34">
        <f>+G26+G25+G23+G24</f>
        <v>2304</v>
      </c>
      <c r="H27" s="34"/>
      <c r="I27" s="34">
        <f t="shared" ref="I27:N27" si="10">SUM(I23:I26)</f>
        <v>6.16</v>
      </c>
      <c r="J27" s="34">
        <f t="shared" si="10"/>
        <v>1852.18</v>
      </c>
      <c r="K27" s="34">
        <f t="shared" si="10"/>
        <v>23674.02</v>
      </c>
      <c r="L27" s="34">
        <f t="shared" si="10"/>
        <v>0</v>
      </c>
      <c r="M27" s="34">
        <f t="shared" si="10"/>
        <v>3545.8900000000003</v>
      </c>
      <c r="N27" s="34">
        <f t="shared" si="10"/>
        <v>3545.8900000000003</v>
      </c>
      <c r="O27" s="34">
        <f t="shared" ref="O27:V27" si="11">SUM(O23:O26)</f>
        <v>0</v>
      </c>
      <c r="P27" s="34">
        <f t="shared" si="11"/>
        <v>1279.72</v>
      </c>
      <c r="Q27" s="34">
        <f t="shared" si="11"/>
        <v>7129.6100000000006</v>
      </c>
      <c r="R27" s="264">
        <f t="shared" si="11"/>
        <v>16544.41</v>
      </c>
      <c r="S27" s="34">
        <f t="shared" si="11"/>
        <v>1372.0342299178083</v>
      </c>
      <c r="T27" s="34">
        <f t="shared" si="11"/>
        <v>2281.2399999999998</v>
      </c>
      <c r="U27" s="34">
        <f t="shared" si="11"/>
        <v>222.56</v>
      </c>
      <c r="V27" s="34">
        <f t="shared" si="11"/>
        <v>3875.8342299178075</v>
      </c>
    </row>
    <row r="28" spans="2:22" hidden="1" x14ac:dyDescent="0.3">
      <c r="C28" s="133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265"/>
    </row>
    <row r="29" spans="2:22" x14ac:dyDescent="0.3">
      <c r="B29" s="2" t="s">
        <v>63</v>
      </c>
      <c r="C29" s="270" t="s">
        <v>51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265"/>
    </row>
    <row r="30" spans="2:22" x14ac:dyDescent="0.3">
      <c r="B30" t="s">
        <v>122</v>
      </c>
      <c r="C30" s="133" t="s">
        <v>97</v>
      </c>
      <c r="D30" t="s">
        <v>80</v>
      </c>
      <c r="E30" s="15">
        <v>5564</v>
      </c>
      <c r="F30" s="29">
        <v>15</v>
      </c>
      <c r="G30" s="15"/>
      <c r="H30" s="15"/>
      <c r="I30" s="71"/>
      <c r="J30" s="19">
        <v>926.09</v>
      </c>
      <c r="K30" s="15">
        <f t="shared" ref="K30:K40" si="12">E30-I30+J30</f>
        <v>6490.09</v>
      </c>
      <c r="L30" s="15">
        <v>0</v>
      </c>
      <c r="M30" s="297">
        <f>633.91+197.81+352.66</f>
        <v>1184.3800000000001</v>
      </c>
      <c r="N30" s="15">
        <f>M30-L30</f>
        <v>1184.3800000000001</v>
      </c>
      <c r="O30" s="15">
        <v>0</v>
      </c>
      <c r="P30" s="287">
        <f>E30*0.115</f>
        <v>639.86</v>
      </c>
      <c r="Q30" s="15">
        <f>SUM(N30:P30)+G30</f>
        <v>1824.2400000000002</v>
      </c>
      <c r="R30" s="284">
        <f t="shared" ref="R30:R40" si="13">K30-Q30</f>
        <v>4665.8500000000004</v>
      </c>
      <c r="S30" s="263">
        <f>+'[1]IMSS INCREMENTO 4%'!$AR$16/2</f>
        <v>346.01175335159814</v>
      </c>
      <c r="T30" s="263">
        <f>+E30*17.5%+166.92</f>
        <v>1140.6199999999999</v>
      </c>
      <c r="U30" s="288">
        <f t="shared" ref="U30:U40" si="14">+E30*2%</f>
        <v>111.28</v>
      </c>
      <c r="V30" s="35">
        <f>SUM(S30:U30)</f>
        <v>1597.911753351598</v>
      </c>
    </row>
    <row r="31" spans="2:22" x14ac:dyDescent="0.3">
      <c r="B31" t="s">
        <v>123</v>
      </c>
      <c r="C31" s="133" t="s">
        <v>100</v>
      </c>
      <c r="D31" t="s">
        <v>80</v>
      </c>
      <c r="E31" s="15">
        <v>5564</v>
      </c>
      <c r="F31" s="29">
        <v>15</v>
      </c>
      <c r="G31" s="297">
        <v>904</v>
      </c>
      <c r="H31" s="15"/>
      <c r="I31" s="77">
        <v>3.52</v>
      </c>
      <c r="J31" s="19">
        <v>926.09</v>
      </c>
      <c r="K31" s="20">
        <f>E31-I31+J31</f>
        <v>6486.57</v>
      </c>
      <c r="L31" s="20">
        <v>0</v>
      </c>
      <c r="M31" s="297">
        <f>633.91+197.81+361.92</f>
        <v>1193.6400000000001</v>
      </c>
      <c r="N31" s="15">
        <f>M31-L31</f>
        <v>1193.6400000000001</v>
      </c>
      <c r="O31" s="15">
        <v>0</v>
      </c>
      <c r="P31" s="287">
        <f t="shared" ref="P31:P40" si="15">E31*0.115</f>
        <v>639.86</v>
      </c>
      <c r="Q31" s="15">
        <f t="shared" ref="Q31:Q40" si="16">SUM(N31:P31)+G31</f>
        <v>2737.5</v>
      </c>
      <c r="R31" s="284">
        <f t="shared" si="13"/>
        <v>3749.0699999999997</v>
      </c>
      <c r="S31" s="263">
        <f>+'[1]IMSS INCREMENTO 4%'!$AR$17/2</f>
        <v>346.01175335159814</v>
      </c>
      <c r="T31" s="263">
        <f>+E31*17.5%+166.92</f>
        <v>1140.6199999999999</v>
      </c>
      <c r="U31" s="288">
        <f t="shared" si="14"/>
        <v>111.28</v>
      </c>
      <c r="V31" s="35">
        <f>SUM(S31:U31)</f>
        <v>1597.911753351598</v>
      </c>
    </row>
    <row r="32" spans="2:22" x14ac:dyDescent="0.3">
      <c r="B32" t="s">
        <v>124</v>
      </c>
      <c r="C32" s="133" t="s">
        <v>96</v>
      </c>
      <c r="D32" t="s">
        <v>239</v>
      </c>
      <c r="E32" s="15">
        <v>6240</v>
      </c>
      <c r="F32" s="29">
        <v>15</v>
      </c>
      <c r="G32" s="15"/>
      <c r="H32" s="15"/>
      <c r="I32" s="15"/>
      <c r="J32" s="15">
        <v>1038.6099999999999</v>
      </c>
      <c r="K32" s="15">
        <f t="shared" si="12"/>
        <v>7278.61</v>
      </c>
      <c r="L32" s="15">
        <v>0</v>
      </c>
      <c r="M32" s="297">
        <f>778.31+221.84+352.57</f>
        <v>1352.72</v>
      </c>
      <c r="N32" s="15">
        <f t="shared" ref="N32:N40" si="17">M32-L32</f>
        <v>1352.72</v>
      </c>
      <c r="O32" s="15">
        <v>0</v>
      </c>
      <c r="P32" s="287">
        <f t="shared" si="15"/>
        <v>717.6</v>
      </c>
      <c r="Q32" s="15">
        <f t="shared" si="16"/>
        <v>2070.3200000000002</v>
      </c>
      <c r="R32" s="284">
        <f t="shared" si="13"/>
        <v>5208.2899999999991</v>
      </c>
      <c r="S32" s="263">
        <f>+'[1]IMSS INCREMENTO 4%'!$AR$18/2</f>
        <v>364.98521512328773</v>
      </c>
      <c r="T32" s="263">
        <f>+E32*17.5%+187.2</f>
        <v>1279.2</v>
      </c>
      <c r="U32" s="288">
        <f t="shared" si="14"/>
        <v>124.8</v>
      </c>
      <c r="V32" s="35">
        <f t="shared" ref="V32:V40" si="18">SUM(S32:U32)</f>
        <v>1768.9852151232878</v>
      </c>
    </row>
    <row r="33" spans="2:22" x14ac:dyDescent="0.3">
      <c r="B33" t="s">
        <v>125</v>
      </c>
      <c r="C33" s="133" t="s">
        <v>104</v>
      </c>
      <c r="D33" t="s">
        <v>253</v>
      </c>
      <c r="E33" s="15">
        <v>6240</v>
      </c>
      <c r="F33" s="29">
        <v>15</v>
      </c>
      <c r="G33" s="265"/>
      <c r="H33" s="15"/>
      <c r="I33" s="20"/>
      <c r="J33" s="19">
        <v>1038.6099999999999</v>
      </c>
      <c r="K33" s="20">
        <f t="shared" si="12"/>
        <v>7278.61</v>
      </c>
      <c r="L33" s="20">
        <v>0</v>
      </c>
      <c r="M33" s="297">
        <f>778.31+221.84+352.57</f>
        <v>1352.72</v>
      </c>
      <c r="N33" s="15">
        <f t="shared" si="17"/>
        <v>1352.72</v>
      </c>
      <c r="O33" s="15">
        <v>0</v>
      </c>
      <c r="P33" s="287">
        <f t="shared" si="15"/>
        <v>717.6</v>
      </c>
      <c r="Q33" s="15">
        <f t="shared" si="16"/>
        <v>2070.3200000000002</v>
      </c>
      <c r="R33" s="284">
        <f t="shared" si="13"/>
        <v>5208.2899999999991</v>
      </c>
      <c r="S33" s="263">
        <f>+'[1]IMSS INCREMENTO 4%'!$AR$18/2</f>
        <v>364.98521512328773</v>
      </c>
      <c r="T33" s="263">
        <f>+E33*17.5%+187.2</f>
        <v>1279.2</v>
      </c>
      <c r="U33" s="288">
        <f t="shared" si="14"/>
        <v>124.8</v>
      </c>
      <c r="V33" s="35">
        <f t="shared" si="18"/>
        <v>1768.9852151232878</v>
      </c>
    </row>
    <row r="34" spans="2:22" x14ac:dyDescent="0.3">
      <c r="B34" t="s">
        <v>126</v>
      </c>
      <c r="C34" s="133" t="s">
        <v>94</v>
      </c>
      <c r="D34" t="s">
        <v>240</v>
      </c>
      <c r="E34" s="15">
        <v>5564</v>
      </c>
      <c r="F34" s="29">
        <v>15</v>
      </c>
      <c r="G34" s="297">
        <v>595</v>
      </c>
      <c r="H34" s="15"/>
      <c r="I34" s="77">
        <v>13.2</v>
      </c>
      <c r="J34" s="19">
        <v>926.09</v>
      </c>
      <c r="K34" s="20">
        <f>E34-I34+J34</f>
        <v>6476.89</v>
      </c>
      <c r="L34" s="20">
        <v>0</v>
      </c>
      <c r="M34" s="297">
        <f>633.91+197.81+355.45</f>
        <v>1187.17</v>
      </c>
      <c r="N34" s="15">
        <f t="shared" si="17"/>
        <v>1187.17</v>
      </c>
      <c r="O34" s="15">
        <v>0</v>
      </c>
      <c r="P34" s="287">
        <f t="shared" si="15"/>
        <v>639.86</v>
      </c>
      <c r="Q34" s="15">
        <f t="shared" si="16"/>
        <v>2422.0300000000002</v>
      </c>
      <c r="R34" s="284">
        <f t="shared" si="13"/>
        <v>4054.86</v>
      </c>
      <c r="S34" s="263">
        <f>+'[1]IMSS INCREMENTO 4%'!$AR$20/2</f>
        <v>346.01175335159814</v>
      </c>
      <c r="T34" s="263">
        <f t="shared" ref="T34:T40" si="19">+E34*17.5%+166.92</f>
        <v>1140.6199999999999</v>
      </c>
      <c r="U34" s="288">
        <f t="shared" si="14"/>
        <v>111.28</v>
      </c>
      <c r="V34" s="35">
        <f t="shared" si="18"/>
        <v>1597.911753351598</v>
      </c>
    </row>
    <row r="35" spans="2:22" x14ac:dyDescent="0.3">
      <c r="B35" t="s">
        <v>127</v>
      </c>
      <c r="C35" s="133" t="s">
        <v>98</v>
      </c>
      <c r="D35" t="s">
        <v>240</v>
      </c>
      <c r="E35" s="15">
        <v>5564</v>
      </c>
      <c r="F35" s="29">
        <v>15</v>
      </c>
      <c r="G35" s="15"/>
      <c r="H35" s="20"/>
      <c r="I35" s="15"/>
      <c r="J35" s="19">
        <v>926.09</v>
      </c>
      <c r="K35" s="20">
        <f t="shared" si="12"/>
        <v>6490.09</v>
      </c>
      <c r="L35" s="20">
        <v>0</v>
      </c>
      <c r="M35" s="297">
        <f>633.91+197.81+352.57</f>
        <v>1184.29</v>
      </c>
      <c r="N35" s="15">
        <f t="shared" si="17"/>
        <v>1184.29</v>
      </c>
      <c r="O35" s="15">
        <v>0</v>
      </c>
      <c r="P35" s="287">
        <f t="shared" si="15"/>
        <v>639.86</v>
      </c>
      <c r="Q35" s="15">
        <f t="shared" si="16"/>
        <v>1824.15</v>
      </c>
      <c r="R35" s="284">
        <f t="shared" si="13"/>
        <v>4665.9400000000005</v>
      </c>
      <c r="S35" s="263">
        <f>+'[1]IMSS INCREMENTO 4%'!$AR$21/2</f>
        <v>346.01175335159814</v>
      </c>
      <c r="T35" s="263">
        <f t="shared" si="19"/>
        <v>1140.6199999999999</v>
      </c>
      <c r="U35" s="288">
        <f t="shared" si="14"/>
        <v>111.28</v>
      </c>
      <c r="V35" s="35">
        <f t="shared" si="18"/>
        <v>1597.911753351598</v>
      </c>
    </row>
    <row r="36" spans="2:22" x14ac:dyDescent="0.3">
      <c r="B36" t="s">
        <v>128</v>
      </c>
      <c r="C36" s="133" t="s">
        <v>101</v>
      </c>
      <c r="D36" t="s">
        <v>240</v>
      </c>
      <c r="E36" s="15">
        <v>5564</v>
      </c>
      <c r="F36" s="29">
        <v>15</v>
      </c>
      <c r="G36" s="15"/>
      <c r="H36" s="15"/>
      <c r="I36" s="77"/>
      <c r="J36" s="19">
        <v>926.09</v>
      </c>
      <c r="K36" s="20">
        <f t="shared" si="12"/>
        <v>6490.09</v>
      </c>
      <c r="L36" s="20">
        <v>0</v>
      </c>
      <c r="M36" s="297">
        <f>633.91+197.81+355.1</f>
        <v>1186.8200000000002</v>
      </c>
      <c r="N36" s="15">
        <f t="shared" si="17"/>
        <v>1186.8200000000002</v>
      </c>
      <c r="O36" s="15">
        <v>0</v>
      </c>
      <c r="P36" s="287">
        <f t="shared" si="15"/>
        <v>639.86</v>
      </c>
      <c r="Q36" s="15">
        <f t="shared" si="16"/>
        <v>1826.6800000000003</v>
      </c>
      <c r="R36" s="284">
        <f t="shared" si="13"/>
        <v>4663.41</v>
      </c>
      <c r="S36" s="263">
        <f>+'[1]IMSS INCREMENTO 4%'!$AR$22/2</f>
        <v>346.01175335159814</v>
      </c>
      <c r="T36" s="263">
        <f t="shared" si="19"/>
        <v>1140.6199999999999</v>
      </c>
      <c r="U36" s="288">
        <f t="shared" si="14"/>
        <v>111.28</v>
      </c>
      <c r="V36" s="35">
        <f t="shared" si="18"/>
        <v>1597.911753351598</v>
      </c>
    </row>
    <row r="37" spans="2:22" x14ac:dyDescent="0.3">
      <c r="B37" t="s">
        <v>129</v>
      </c>
      <c r="C37" s="133" t="s">
        <v>95</v>
      </c>
      <c r="D37" t="s">
        <v>241</v>
      </c>
      <c r="E37" s="15">
        <v>5564</v>
      </c>
      <c r="F37" s="29">
        <v>15</v>
      </c>
      <c r="G37" s="20"/>
      <c r="H37" s="15"/>
      <c r="I37" s="77">
        <v>11.44</v>
      </c>
      <c r="J37" s="19">
        <v>926.09</v>
      </c>
      <c r="K37" s="15">
        <f>E37-I37+J37</f>
        <v>6478.6500000000005</v>
      </c>
      <c r="L37" s="15">
        <v>0</v>
      </c>
      <c r="M37" s="297">
        <f>633.91+197.81+352.57</f>
        <v>1184.29</v>
      </c>
      <c r="N37" s="15">
        <f t="shared" si="17"/>
        <v>1184.29</v>
      </c>
      <c r="O37" s="15">
        <v>0</v>
      </c>
      <c r="P37" s="287">
        <f t="shared" si="15"/>
        <v>639.86</v>
      </c>
      <c r="Q37" s="15">
        <f t="shared" si="16"/>
        <v>1824.15</v>
      </c>
      <c r="R37" s="284">
        <f t="shared" si="13"/>
        <v>4654.5</v>
      </c>
      <c r="S37" s="263">
        <f>+'[1]IMSS INCREMENTO 4%'!$AR$23/2</f>
        <v>346.01175335159814</v>
      </c>
      <c r="T37" s="263">
        <f t="shared" si="19"/>
        <v>1140.6199999999999</v>
      </c>
      <c r="U37" s="288">
        <f t="shared" si="14"/>
        <v>111.28</v>
      </c>
      <c r="V37" s="35">
        <f t="shared" si="18"/>
        <v>1597.911753351598</v>
      </c>
    </row>
    <row r="38" spans="2:22" x14ac:dyDescent="0.3">
      <c r="B38" t="s">
        <v>130</v>
      </c>
      <c r="C38" s="133" t="s">
        <v>102</v>
      </c>
      <c r="D38" t="s">
        <v>241</v>
      </c>
      <c r="E38" s="15">
        <v>5564</v>
      </c>
      <c r="F38" s="29">
        <v>15</v>
      </c>
      <c r="G38" s="20"/>
      <c r="H38" s="15"/>
      <c r="I38" s="77"/>
      <c r="J38" s="19">
        <v>926.09</v>
      </c>
      <c r="K38" s="15">
        <f t="shared" si="12"/>
        <v>6490.09</v>
      </c>
      <c r="L38" s="15">
        <v>0</v>
      </c>
      <c r="M38" s="297">
        <f>633.91+197.81+354.74</f>
        <v>1186.46</v>
      </c>
      <c r="N38" s="15">
        <f t="shared" si="17"/>
        <v>1186.46</v>
      </c>
      <c r="O38" s="15">
        <v>0</v>
      </c>
      <c r="P38" s="287">
        <f t="shared" si="15"/>
        <v>639.86</v>
      </c>
      <c r="Q38" s="15">
        <f t="shared" si="16"/>
        <v>1826.3200000000002</v>
      </c>
      <c r="R38" s="284">
        <f t="shared" si="13"/>
        <v>4663.7700000000004</v>
      </c>
      <c r="S38" s="263">
        <f>+'[1]IMSS INCREMENTO 4%'!$AR$24/2</f>
        <v>346.01175335159814</v>
      </c>
      <c r="T38" s="263">
        <f t="shared" si="19"/>
        <v>1140.6199999999999</v>
      </c>
      <c r="U38" s="288">
        <f t="shared" si="14"/>
        <v>111.28</v>
      </c>
      <c r="V38" s="35">
        <f t="shared" si="18"/>
        <v>1597.911753351598</v>
      </c>
    </row>
    <row r="39" spans="2:22" x14ac:dyDescent="0.3">
      <c r="B39" t="s">
        <v>131</v>
      </c>
      <c r="C39" s="133" t="s">
        <v>85</v>
      </c>
      <c r="D39" t="s">
        <v>242</v>
      </c>
      <c r="E39" s="15">
        <v>5564</v>
      </c>
      <c r="F39" s="29">
        <v>15</v>
      </c>
      <c r="G39" s="297">
        <v>1784</v>
      </c>
      <c r="H39" s="15"/>
      <c r="I39" s="77"/>
      <c r="J39" s="19">
        <v>926.09</v>
      </c>
      <c r="K39" s="15">
        <f t="shared" si="12"/>
        <v>6490.09</v>
      </c>
      <c r="L39" s="15">
        <v>0</v>
      </c>
      <c r="M39" s="297">
        <f>633.91+197.81+352.57</f>
        <v>1184.29</v>
      </c>
      <c r="N39" s="15">
        <f t="shared" si="17"/>
        <v>1184.29</v>
      </c>
      <c r="O39" s="15">
        <v>0</v>
      </c>
      <c r="P39" s="287">
        <f t="shared" si="15"/>
        <v>639.86</v>
      </c>
      <c r="Q39" s="15">
        <f t="shared" si="16"/>
        <v>3608.15</v>
      </c>
      <c r="R39" s="284">
        <f t="shared" si="13"/>
        <v>2881.94</v>
      </c>
      <c r="S39" s="263">
        <f>+'[1]IMSS INCREMENTO 4%'!$AR$25/2</f>
        <v>346.01175335159814</v>
      </c>
      <c r="T39" s="263">
        <f t="shared" si="19"/>
        <v>1140.6199999999999</v>
      </c>
      <c r="U39" s="288">
        <f t="shared" si="14"/>
        <v>111.28</v>
      </c>
      <c r="V39" s="35">
        <f t="shared" si="18"/>
        <v>1597.911753351598</v>
      </c>
    </row>
    <row r="40" spans="2:22" x14ac:dyDescent="0.3">
      <c r="B40" t="s">
        <v>132</v>
      </c>
      <c r="C40" s="133" t="s">
        <v>103</v>
      </c>
      <c r="D40" t="s">
        <v>242</v>
      </c>
      <c r="E40" s="15">
        <v>5564</v>
      </c>
      <c r="F40" s="29">
        <v>15</v>
      </c>
      <c r="G40" s="297">
        <v>2293</v>
      </c>
      <c r="H40" s="15"/>
      <c r="I40" s="77"/>
      <c r="J40" s="19">
        <v>926.09</v>
      </c>
      <c r="K40" s="15">
        <f t="shared" si="12"/>
        <v>6490.09</v>
      </c>
      <c r="L40" s="15">
        <v>0</v>
      </c>
      <c r="M40" s="297">
        <f>633.91+197.81+352.57</f>
        <v>1184.29</v>
      </c>
      <c r="N40" s="15">
        <f t="shared" si="17"/>
        <v>1184.29</v>
      </c>
      <c r="O40" s="15">
        <v>0</v>
      </c>
      <c r="P40" s="287">
        <f t="shared" si="15"/>
        <v>639.86</v>
      </c>
      <c r="Q40" s="15">
        <f t="shared" si="16"/>
        <v>4117.1499999999996</v>
      </c>
      <c r="R40" s="284">
        <f t="shared" si="13"/>
        <v>2372.9400000000005</v>
      </c>
      <c r="S40" s="263">
        <f>+'[1]IMSS INCREMENTO 4%'!$AR$26/2</f>
        <v>346.01175335159814</v>
      </c>
      <c r="T40" s="263">
        <f t="shared" si="19"/>
        <v>1140.6199999999999</v>
      </c>
      <c r="U40" s="288">
        <f t="shared" si="14"/>
        <v>111.28</v>
      </c>
      <c r="V40" s="35">
        <f t="shared" si="18"/>
        <v>1597.911753351598</v>
      </c>
    </row>
    <row r="41" spans="2:22" x14ac:dyDescent="0.3">
      <c r="B41" s="2" t="s">
        <v>26</v>
      </c>
      <c r="C41" s="270"/>
      <c r="D41" s="30"/>
      <c r="E41" s="34">
        <f>SUM(E30:E40)</f>
        <v>62556</v>
      </c>
      <c r="F41" s="34"/>
      <c r="G41" s="34">
        <f>+G40+G39+G38+G37+G36+G35+G34+G31</f>
        <v>5576</v>
      </c>
      <c r="H41" s="34"/>
      <c r="I41" s="34">
        <f>SUM(I30:I40)</f>
        <v>28.159999999999997</v>
      </c>
      <c r="J41" s="34">
        <f>SUM(J30:J40)</f>
        <v>10412.030000000001</v>
      </c>
      <c r="K41" s="34">
        <f>SUM(K30:K40)</f>
        <v>72939.87</v>
      </c>
      <c r="L41" s="34">
        <f t="shared" ref="L41:Q41" si="20">SUM(L30:L40)</f>
        <v>0</v>
      </c>
      <c r="M41" s="34">
        <f t="shared" si="20"/>
        <v>13381.070000000003</v>
      </c>
      <c r="N41" s="34">
        <f>SUM(N30:N40)</f>
        <v>13381.070000000003</v>
      </c>
      <c r="O41" s="34">
        <f t="shared" si="20"/>
        <v>0</v>
      </c>
      <c r="P41" s="34">
        <f>SUM(P30:P40)</f>
        <v>7193.9399999999987</v>
      </c>
      <c r="Q41" s="34">
        <f t="shared" si="20"/>
        <v>26151.010000000002</v>
      </c>
      <c r="R41" s="264">
        <f>SUM(R30:R40)</f>
        <v>46788.860000000015</v>
      </c>
      <c r="S41" s="34">
        <f>SUM(S30:S40)</f>
        <v>3844.0762104109585</v>
      </c>
      <c r="T41" s="34">
        <f>SUM(T30:T40)</f>
        <v>12823.979999999996</v>
      </c>
      <c r="U41" s="34">
        <f>SUM(U30:U40)</f>
        <v>1251.1199999999999</v>
      </c>
      <c r="V41" s="34">
        <f>SUM(V30:V40)</f>
        <v>17919.176210410958</v>
      </c>
    </row>
    <row r="42" spans="2:22" hidden="1" x14ac:dyDescent="0.3">
      <c r="C42" s="133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265"/>
    </row>
    <row r="43" spans="2:22" x14ac:dyDescent="0.3">
      <c r="B43" s="2" t="s">
        <v>140</v>
      </c>
      <c r="C43" s="270" t="s">
        <v>64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265"/>
    </row>
    <row r="44" spans="2:22" x14ac:dyDescent="0.3">
      <c r="B44" t="s">
        <v>133</v>
      </c>
      <c r="C44" s="133" t="s">
        <v>225</v>
      </c>
      <c r="D44" t="s">
        <v>243</v>
      </c>
      <c r="E44" s="15">
        <v>5350</v>
      </c>
      <c r="F44" s="29">
        <v>15</v>
      </c>
      <c r="G44" s="15"/>
      <c r="H44" s="15"/>
      <c r="I44" s="15"/>
      <c r="J44" s="20"/>
      <c r="K44" s="20">
        <f>E44-I44+J44</f>
        <v>5350</v>
      </c>
      <c r="L44" s="20">
        <v>0</v>
      </c>
      <c r="M44" s="20">
        <v>588.20000000000005</v>
      </c>
      <c r="N44" s="20">
        <f t="shared" ref="N44:N45" si="21">M44-L44</f>
        <v>588.20000000000005</v>
      </c>
      <c r="O44" s="15">
        <v>0</v>
      </c>
      <c r="P44" s="20"/>
      <c r="Q44" s="15">
        <f>SUM(N44:P44)+G44</f>
        <v>588.20000000000005</v>
      </c>
      <c r="R44" s="284">
        <f>K44-Q44</f>
        <v>4761.8</v>
      </c>
      <c r="S44" s="263">
        <f>+'[1]IMSS INCREMENTO 4%'!$AR$27/2</f>
        <v>340.00536160730593</v>
      </c>
      <c r="T44" s="263"/>
      <c r="U44" s="263"/>
      <c r="V44" s="35">
        <f t="shared" ref="V44" si="22">SUM(S44:U44)</f>
        <v>340.00536160730593</v>
      </c>
    </row>
    <row r="45" spans="2:22" x14ac:dyDescent="0.3">
      <c r="B45" t="s">
        <v>152</v>
      </c>
      <c r="C45" s="133" t="s">
        <v>92</v>
      </c>
      <c r="D45" t="s">
        <v>244</v>
      </c>
      <c r="E45" s="15">
        <v>5564</v>
      </c>
      <c r="F45" s="29">
        <v>15</v>
      </c>
      <c r="G45" s="15"/>
      <c r="H45" s="15"/>
      <c r="I45" s="77"/>
      <c r="J45" s="19"/>
      <c r="K45" s="15">
        <f>E45-I45+J45</f>
        <v>5564</v>
      </c>
      <c r="L45" s="15">
        <v>0</v>
      </c>
      <c r="M45" s="297">
        <f>633.91+352.57</f>
        <v>986.48</v>
      </c>
      <c r="N45" s="15">
        <f t="shared" si="21"/>
        <v>986.48</v>
      </c>
      <c r="O45" s="15">
        <v>0</v>
      </c>
      <c r="P45" s="287">
        <f>E45*0.115</f>
        <v>639.86</v>
      </c>
      <c r="Q45" s="15">
        <f>SUM(N45:P45)+G45</f>
        <v>1626.3400000000001</v>
      </c>
      <c r="R45" s="284">
        <f>K45-Q45</f>
        <v>3937.66</v>
      </c>
      <c r="S45" s="263">
        <f>+'[1]IMSS INCREMENTO 4%'!$AR$28/2</f>
        <v>346.01175335159814</v>
      </c>
      <c r="T45" s="263">
        <f>+E45*17.5%+166.92</f>
        <v>1140.6199999999999</v>
      </c>
      <c r="U45" s="288">
        <f>+E45*2%</f>
        <v>111.28</v>
      </c>
      <c r="V45" s="35">
        <f t="shared" ref="V45" si="23">SUM(S45:U45)</f>
        <v>1597.911753351598</v>
      </c>
    </row>
    <row r="46" spans="2:22" x14ac:dyDescent="0.3">
      <c r="B46" t="s">
        <v>220</v>
      </c>
      <c r="C46" s="133" t="s">
        <v>221</v>
      </c>
      <c r="D46" t="s">
        <v>222</v>
      </c>
      <c r="E46" s="15">
        <v>5350</v>
      </c>
      <c r="F46" s="29">
        <v>15</v>
      </c>
      <c r="G46" s="15"/>
      <c r="H46" s="15"/>
      <c r="I46" s="15"/>
      <c r="J46" s="15"/>
      <c r="K46" s="15">
        <f>E46-I46+J46</f>
        <v>5350</v>
      </c>
      <c r="L46" s="15">
        <v>0</v>
      </c>
      <c r="M46" s="15">
        <v>588.20000000000005</v>
      </c>
      <c r="N46" s="15">
        <v>588.20000000000005</v>
      </c>
      <c r="O46" s="15">
        <v>0</v>
      </c>
      <c r="P46" s="15"/>
      <c r="Q46" s="15">
        <f>SUM(N46:P46)+G46</f>
        <v>588.20000000000005</v>
      </c>
      <c r="R46" s="284">
        <f>K46-Q46</f>
        <v>4761.8</v>
      </c>
      <c r="S46" s="263">
        <f>+'[1]IMSS INCREMENTO 4%'!$AR$29/2</f>
        <v>340.00536160730593</v>
      </c>
      <c r="T46" s="263"/>
      <c r="U46" s="263"/>
      <c r="V46" s="35">
        <f t="shared" ref="V46" si="24">SUM(S46:U46)</f>
        <v>340.00536160730593</v>
      </c>
    </row>
    <row r="47" spans="2:22" x14ac:dyDescent="0.3">
      <c r="B47" s="2" t="s">
        <v>26</v>
      </c>
      <c r="C47" s="270"/>
      <c r="D47" s="30"/>
      <c r="E47" s="34">
        <f>E44+E45+E46</f>
        <v>16264</v>
      </c>
      <c r="F47" s="34"/>
      <c r="G47" s="34">
        <f t="shared" ref="G47:V47" si="25">G44+G45+G46</f>
        <v>0</v>
      </c>
      <c r="H47" s="34">
        <f t="shared" si="25"/>
        <v>0</v>
      </c>
      <c r="I47" s="34">
        <f>I44+I45+I46</f>
        <v>0</v>
      </c>
      <c r="J47" s="34">
        <f t="shared" si="25"/>
        <v>0</v>
      </c>
      <c r="K47" s="34">
        <f t="shared" si="25"/>
        <v>16264</v>
      </c>
      <c r="L47" s="34">
        <f t="shared" si="25"/>
        <v>0</v>
      </c>
      <c r="M47" s="34">
        <f t="shared" si="25"/>
        <v>2162.88</v>
      </c>
      <c r="N47" s="34">
        <f t="shared" si="25"/>
        <v>2162.88</v>
      </c>
      <c r="O47" s="34">
        <f t="shared" si="25"/>
        <v>0</v>
      </c>
      <c r="P47" s="34">
        <f t="shared" si="25"/>
        <v>639.86</v>
      </c>
      <c r="Q47" s="34">
        <f t="shared" si="25"/>
        <v>2802.74</v>
      </c>
      <c r="R47" s="264">
        <f>R44+R45+R46</f>
        <v>13461.259999999998</v>
      </c>
      <c r="S47" s="34">
        <f t="shared" si="25"/>
        <v>1026.0224765662101</v>
      </c>
      <c r="T47" s="34">
        <f t="shared" si="25"/>
        <v>1140.6199999999999</v>
      </c>
      <c r="U47" s="34">
        <f t="shared" si="25"/>
        <v>111.28</v>
      </c>
      <c r="V47" s="34">
        <f t="shared" si="25"/>
        <v>2277.9224765662098</v>
      </c>
    </row>
    <row r="48" spans="2:22" hidden="1" x14ac:dyDescent="0.3">
      <c r="B48" s="2"/>
      <c r="C48" s="133"/>
      <c r="E48" s="15"/>
      <c r="F48" s="15"/>
      <c r="G48" s="15"/>
      <c r="H48" s="15"/>
      <c r="I48" s="15"/>
      <c r="J48" s="15"/>
      <c r="K48" s="16"/>
      <c r="L48" s="16"/>
      <c r="M48" s="16"/>
      <c r="N48" s="16"/>
      <c r="O48" s="16"/>
      <c r="P48" s="16"/>
      <c r="Q48" s="16"/>
      <c r="R48" s="267"/>
      <c r="S48" s="8"/>
      <c r="T48" s="8"/>
      <c r="U48" s="8"/>
      <c r="V48" s="8"/>
    </row>
    <row r="49" spans="2:22" x14ac:dyDescent="0.3">
      <c r="B49" s="2" t="s">
        <v>161</v>
      </c>
      <c r="C49" s="270" t="s">
        <v>162</v>
      </c>
      <c r="E49" s="15"/>
      <c r="F49" s="15"/>
      <c r="G49" s="15"/>
      <c r="H49" s="15"/>
      <c r="I49" s="15"/>
      <c r="J49" s="15"/>
      <c r="K49" s="16"/>
      <c r="L49" s="16"/>
      <c r="M49" s="16"/>
      <c r="N49" s="16"/>
      <c r="O49" s="16"/>
      <c r="P49" s="16"/>
      <c r="Q49" s="16"/>
      <c r="R49" s="267"/>
      <c r="S49" s="8"/>
      <c r="T49" s="8"/>
      <c r="U49" s="8"/>
      <c r="V49" s="8"/>
    </row>
    <row r="50" spans="2:22" x14ac:dyDescent="0.3">
      <c r="B50" t="s">
        <v>163</v>
      </c>
      <c r="C50" s="269" t="s">
        <v>42</v>
      </c>
      <c r="D50" t="s">
        <v>230</v>
      </c>
      <c r="E50" s="15">
        <v>10400</v>
      </c>
      <c r="F50" s="29">
        <v>15</v>
      </c>
      <c r="G50" s="15"/>
      <c r="H50" s="15"/>
      <c r="I50" s="15"/>
      <c r="J50" s="15">
        <v>1731.02</v>
      </c>
      <c r="K50" s="15">
        <f>E50-I50+J50</f>
        <v>12131.02</v>
      </c>
      <c r="L50" s="15">
        <v>0</v>
      </c>
      <c r="M50" s="297">
        <f>1667.21+407.12+321.79</f>
        <v>2396.12</v>
      </c>
      <c r="N50" s="15">
        <f>M50-L50</f>
        <v>2396.12</v>
      </c>
      <c r="O50" s="15">
        <v>0</v>
      </c>
      <c r="P50" s="287">
        <f>E50*0.115</f>
        <v>1196</v>
      </c>
      <c r="Q50" s="15">
        <f>SUM(N50:P50)+G50</f>
        <v>3592.12</v>
      </c>
      <c r="R50" s="284">
        <f>K50-Q50</f>
        <v>8538.9000000000015</v>
      </c>
      <c r="S50" s="263">
        <f>+'[1]IMSS INCREMENTO 4%'!$AR$30/2</f>
        <v>481.74497987214613</v>
      </c>
      <c r="T50" s="263">
        <f>+E50*17.5%+312</f>
        <v>2132</v>
      </c>
      <c r="U50" s="288">
        <f>+E50*2%</f>
        <v>208</v>
      </c>
      <c r="V50" s="35">
        <f t="shared" ref="V50" si="26">SUM(S50:U50)</f>
        <v>2821.7449798721464</v>
      </c>
    </row>
    <row r="51" spans="2:22" x14ac:dyDescent="0.3">
      <c r="B51" s="2" t="s">
        <v>26</v>
      </c>
      <c r="E51" s="34">
        <f>E50</f>
        <v>10400</v>
      </c>
      <c r="F51" s="34"/>
      <c r="G51" s="34">
        <f>+G50</f>
        <v>0</v>
      </c>
      <c r="H51" s="34"/>
      <c r="I51" s="34">
        <f>I50</f>
        <v>0</v>
      </c>
      <c r="J51" s="34">
        <f>J50</f>
        <v>1731.02</v>
      </c>
      <c r="K51" s="34">
        <f>K50</f>
        <v>12131.02</v>
      </c>
      <c r="L51" s="34">
        <f t="shared" ref="L51:V51" si="27">L50</f>
        <v>0</v>
      </c>
      <c r="M51" s="34">
        <f t="shared" si="27"/>
        <v>2396.12</v>
      </c>
      <c r="N51" s="34">
        <f t="shared" si="27"/>
        <v>2396.12</v>
      </c>
      <c r="O51" s="34">
        <f t="shared" si="27"/>
        <v>0</v>
      </c>
      <c r="P51" s="34">
        <f>P50</f>
        <v>1196</v>
      </c>
      <c r="Q51" s="34">
        <f t="shared" si="27"/>
        <v>3592.12</v>
      </c>
      <c r="R51" s="264">
        <f>R50</f>
        <v>8538.9000000000015</v>
      </c>
      <c r="S51" s="34">
        <f t="shared" si="27"/>
        <v>481.74497987214613</v>
      </c>
      <c r="T51" s="34">
        <f t="shared" si="27"/>
        <v>2132</v>
      </c>
      <c r="U51" s="34">
        <f t="shared" si="27"/>
        <v>208</v>
      </c>
      <c r="V51" s="34">
        <f t="shared" si="27"/>
        <v>2821.7449798721464</v>
      </c>
    </row>
    <row r="52" spans="2:22" ht="12" customHeight="1" x14ac:dyDescent="0.3">
      <c r="B52" s="2"/>
      <c r="E52" s="15"/>
      <c r="F52" s="15"/>
      <c r="G52" s="15"/>
      <c r="H52" s="15"/>
      <c r="I52" s="15"/>
      <c r="J52" s="15"/>
      <c r="K52" s="16"/>
      <c r="L52" s="16"/>
      <c r="M52" s="16"/>
      <c r="N52" s="16"/>
      <c r="O52" s="16"/>
      <c r="P52" s="16"/>
      <c r="Q52" s="16"/>
      <c r="R52" s="267"/>
      <c r="S52" s="8"/>
      <c r="T52" s="8"/>
      <c r="U52" s="8"/>
      <c r="V52" s="8"/>
    </row>
    <row r="53" spans="2:22" hidden="1" x14ac:dyDescent="0.3"/>
    <row r="54" spans="2:22" x14ac:dyDescent="0.3">
      <c r="C54" s="53" t="s">
        <v>105</v>
      </c>
      <c r="E54" s="17">
        <f>E9+E20+E27+E41+E47+E51</f>
        <v>176937.15</v>
      </c>
      <c r="F54" s="17"/>
      <c r="G54" s="17">
        <f>G9+G20+G27+G41+G47+G51</f>
        <v>17954.62</v>
      </c>
      <c r="H54" s="17"/>
      <c r="I54" s="17">
        <f t="shared" ref="I54:V54" si="28">I9+I20+I27+I41+I47+I51</f>
        <v>38.019999999999996</v>
      </c>
      <c r="J54" s="17">
        <f t="shared" si="28"/>
        <v>24962.110000000004</v>
      </c>
      <c r="K54" s="17">
        <f t="shared" si="28"/>
        <v>201861.23999999996</v>
      </c>
      <c r="L54" s="17">
        <f t="shared" si="28"/>
        <v>274.08999999999997</v>
      </c>
      <c r="M54" s="17">
        <f t="shared" si="28"/>
        <v>35665.965000000004</v>
      </c>
      <c r="N54" s="17">
        <f t="shared" si="28"/>
        <v>35391.875000000007</v>
      </c>
      <c r="O54" s="17">
        <f t="shared" si="28"/>
        <v>0</v>
      </c>
      <c r="P54" s="17">
        <f t="shared" si="28"/>
        <v>17886.76225</v>
      </c>
      <c r="Q54" s="17">
        <f t="shared" si="28"/>
        <v>71233.257249999995</v>
      </c>
      <c r="R54" s="54">
        <f>R9+R20+R27+R41+R47+R51</f>
        <v>130627.98275000002</v>
      </c>
      <c r="S54" s="17">
        <f t="shared" si="28"/>
        <v>10471.660841186045</v>
      </c>
      <c r="T54" s="17">
        <f t="shared" si="28"/>
        <v>31885.111249999994</v>
      </c>
      <c r="U54" s="17">
        <f t="shared" si="28"/>
        <v>3110.7429999999999</v>
      </c>
      <c r="V54" s="55">
        <f t="shared" si="28"/>
        <v>45467.51509118604</v>
      </c>
    </row>
    <row r="63" spans="2:22" ht="19.5" thickBot="1" x14ac:dyDescent="0.35">
      <c r="E63" s="375"/>
      <c r="F63" s="375"/>
      <c r="G63" s="294"/>
      <c r="H63" s="294"/>
      <c r="P63" s="376"/>
      <c r="Q63" s="376"/>
    </row>
    <row r="64" spans="2:22" ht="15" x14ac:dyDescent="0.25">
      <c r="E64" s="377" t="s">
        <v>177</v>
      </c>
      <c r="F64" s="377"/>
      <c r="G64" s="295"/>
      <c r="H64" s="295"/>
      <c r="P64" s="26"/>
      <c r="Q64" s="26"/>
      <c r="R64" s="378" t="s">
        <v>157</v>
      </c>
      <c r="S64" s="378"/>
      <c r="T64" s="294"/>
    </row>
    <row r="68" spans="3:3" x14ac:dyDescent="0.3">
      <c r="C68" t="s">
        <v>174</v>
      </c>
    </row>
  </sheetData>
  <mergeCells count="5">
    <mergeCell ref="B4:V4"/>
    <mergeCell ref="E63:F63"/>
    <mergeCell ref="P63:Q63"/>
    <mergeCell ref="E64:F64"/>
    <mergeCell ref="R64:S64"/>
  </mergeCells>
  <pageMargins left="0.51181102362204722" right="0.51181102362204722" top="0.15748031496062992" bottom="0.35433070866141736" header="0.31496062992125984" footer="0.31496062992125984"/>
  <pageSetup scale="39" fitToHeight="0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W68"/>
  <sheetViews>
    <sheetView topLeftCell="A14" zoomScale="85" zoomScaleNormal="85" workbookViewId="0">
      <selection activeCell="C49" sqref="C49"/>
    </sheetView>
  </sheetViews>
  <sheetFormatPr baseColWidth="10" defaultRowHeight="15.75" x14ac:dyDescent="0.25"/>
  <cols>
    <col min="1" max="1" width="0.7109375" customWidth="1"/>
    <col min="2" max="2" width="17.140625" customWidth="1"/>
    <col min="3" max="3" width="36.5703125" customWidth="1"/>
    <col min="4" max="4" width="28" customWidth="1"/>
    <col min="5" max="5" width="18.42578125" customWidth="1"/>
    <col min="6" max="6" width="12.7109375" customWidth="1"/>
    <col min="7" max="7" width="12.28515625" customWidth="1"/>
    <col min="8" max="8" width="14.140625" hidden="1" customWidth="1"/>
    <col min="9" max="9" width="13.85546875" customWidth="1"/>
    <col min="10" max="10" width="11.42578125" hidden="1" customWidth="1"/>
    <col min="11" max="11" width="15.85546875" customWidth="1"/>
    <col min="12" max="12" width="9.42578125" customWidth="1"/>
    <col min="13" max="13" width="14.42578125" hidden="1" customWidth="1"/>
    <col min="14" max="14" width="14.42578125" customWidth="1"/>
    <col min="15" max="15" width="11.42578125" hidden="1" customWidth="1"/>
    <col min="16" max="16" width="12.85546875" customWidth="1"/>
    <col min="17" max="17" width="16.5703125" customWidth="1"/>
    <col min="18" max="18" width="18.28515625" style="133" customWidth="1"/>
    <col min="19" max="20" width="16.140625" customWidth="1"/>
    <col min="21" max="21" width="14.85546875" customWidth="1"/>
    <col min="22" max="22" width="17" customWidth="1"/>
  </cols>
  <sheetData>
    <row r="3" spans="2:23" x14ac:dyDescent="0.25"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29"/>
    </row>
    <row r="4" spans="2:23" ht="16.5" customHeight="1" x14ac:dyDescent="0.25">
      <c r="B4" s="380" t="s">
        <v>255</v>
      </c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</row>
    <row r="5" spans="2:23" s="56" customFormat="1" ht="56.25" x14ac:dyDescent="0.25">
      <c r="B5" s="120" t="s">
        <v>9</v>
      </c>
      <c r="C5" s="119" t="s">
        <v>10</v>
      </c>
      <c r="D5" s="103" t="s">
        <v>0</v>
      </c>
      <c r="E5" s="61" t="s">
        <v>11</v>
      </c>
      <c r="F5" s="100" t="s">
        <v>150</v>
      </c>
      <c r="G5" s="117" t="s">
        <v>180</v>
      </c>
      <c r="H5" s="118" t="s">
        <v>182</v>
      </c>
      <c r="I5" s="97" t="s">
        <v>169</v>
      </c>
      <c r="J5" s="103" t="s">
        <v>170</v>
      </c>
      <c r="K5" s="103" t="s">
        <v>12</v>
      </c>
      <c r="L5" s="99" t="s">
        <v>107</v>
      </c>
      <c r="M5" s="100" t="s">
        <v>143</v>
      </c>
      <c r="N5" s="100" t="s">
        <v>13</v>
      </c>
      <c r="O5" s="101" t="s">
        <v>171</v>
      </c>
      <c r="P5" s="116" t="s">
        <v>16</v>
      </c>
      <c r="Q5" s="115" t="s">
        <v>17</v>
      </c>
      <c r="R5" s="130" t="s">
        <v>72</v>
      </c>
      <c r="S5" s="99" t="s">
        <v>8</v>
      </c>
      <c r="T5" s="99" t="s">
        <v>218</v>
      </c>
      <c r="U5" s="123" t="s">
        <v>18</v>
      </c>
      <c r="V5" s="123" t="s">
        <v>73</v>
      </c>
      <c r="W5" s="102"/>
    </row>
    <row r="6" spans="2:23" x14ac:dyDescent="0.25">
      <c r="B6" s="107" t="s">
        <v>19</v>
      </c>
      <c r="C6" s="121" t="s">
        <v>20</v>
      </c>
      <c r="D6" s="121"/>
      <c r="E6" s="95"/>
      <c r="F6" s="15"/>
      <c r="G6" s="114"/>
      <c r="H6" s="15"/>
      <c r="I6" s="95"/>
      <c r="J6" s="95"/>
      <c r="K6" s="95"/>
      <c r="L6" s="15"/>
      <c r="M6" s="15"/>
      <c r="N6" s="15"/>
      <c r="O6" s="95"/>
      <c r="P6" s="15"/>
      <c r="Q6" s="95"/>
      <c r="R6" s="129"/>
    </row>
    <row r="7" spans="2:23" ht="18.75" x14ac:dyDescent="0.3">
      <c r="B7" t="s">
        <v>21</v>
      </c>
      <c r="C7" s="269" t="s">
        <v>22</v>
      </c>
      <c r="D7" t="s">
        <v>25</v>
      </c>
      <c r="E7" s="15">
        <v>17633.150000000001</v>
      </c>
      <c r="F7" s="29">
        <v>15</v>
      </c>
      <c r="G7" s="73">
        <v>2700</v>
      </c>
      <c r="H7" s="15"/>
      <c r="I7" s="15"/>
      <c r="J7" s="15"/>
      <c r="K7" s="15">
        <f>E7-I7</f>
        <v>17633.150000000001</v>
      </c>
      <c r="L7" s="15">
        <v>0</v>
      </c>
      <c r="M7" s="15">
        <v>3450.395</v>
      </c>
      <c r="N7" s="15">
        <f>M7-L7</f>
        <v>3450.395</v>
      </c>
      <c r="O7" s="15">
        <v>0</v>
      </c>
      <c r="P7" s="287">
        <f>E7*0.115-0.01</f>
        <v>2027.8022500000002</v>
      </c>
      <c r="Q7" s="15">
        <f>SUM(N7:P7)+G7</f>
        <v>8178.1972500000002</v>
      </c>
      <c r="R7" s="88">
        <f>K7-Q7</f>
        <v>9454.9527500000004</v>
      </c>
      <c r="S7" s="263">
        <f>+'[1]IMSS INCREMENTO 4%'!$AR$2/2</f>
        <v>684.75956133216448</v>
      </c>
      <c r="T7" s="263">
        <f>+E7*17.5%+528.99</f>
        <v>3614.7912500000002</v>
      </c>
      <c r="U7" s="288">
        <f>+E7*2%</f>
        <v>352.66300000000001</v>
      </c>
      <c r="V7" s="35">
        <f>SUM(S7:U7)</f>
        <v>4652.2138113321653</v>
      </c>
    </row>
    <row r="8" spans="2:23" ht="18.75" x14ac:dyDescent="0.3">
      <c r="B8" t="s">
        <v>23</v>
      </c>
      <c r="C8" s="269" t="s">
        <v>24</v>
      </c>
      <c r="D8" t="s">
        <v>3</v>
      </c>
      <c r="E8" s="15">
        <v>5044</v>
      </c>
      <c r="F8" s="29">
        <v>15</v>
      </c>
      <c r="G8" s="73">
        <v>809</v>
      </c>
      <c r="H8" s="15"/>
      <c r="I8" s="15"/>
      <c r="J8" s="15"/>
      <c r="K8" s="15">
        <f>E8-I8</f>
        <v>5044</v>
      </c>
      <c r="L8" s="15">
        <v>0</v>
      </c>
      <c r="M8" s="15">
        <v>526.46</v>
      </c>
      <c r="N8" s="15">
        <f>M8-L8</f>
        <v>526.46</v>
      </c>
      <c r="O8" s="15">
        <v>0</v>
      </c>
      <c r="P8" s="287">
        <f>E8*0.115</f>
        <v>580.06000000000006</v>
      </c>
      <c r="Q8" s="15">
        <f>SUM(N8:P8)+G8</f>
        <v>1915.52</v>
      </c>
      <c r="R8" s="88">
        <f>K8-Q8</f>
        <v>3128.48</v>
      </c>
      <c r="S8" s="263">
        <f>+'[1]IMSS INCREMENTO 4%'!$AR$3/2</f>
        <v>331.41678275799086</v>
      </c>
      <c r="T8" s="263">
        <f>+E8*17.5%+151.32</f>
        <v>1034.02</v>
      </c>
      <c r="U8" s="288">
        <f>+E8*2%</f>
        <v>100.88</v>
      </c>
      <c r="V8" s="35">
        <f>SUM(S8:U8)</f>
        <v>1466.3167827579909</v>
      </c>
    </row>
    <row r="9" spans="2:23" ht="18.75" x14ac:dyDescent="0.3">
      <c r="B9" s="7" t="s">
        <v>26</v>
      </c>
      <c r="C9" s="270"/>
      <c r="D9" s="30"/>
      <c r="E9" s="34">
        <f>SUM(E7:E8)</f>
        <v>22677.15</v>
      </c>
      <c r="F9" s="34"/>
      <c r="G9" s="34">
        <f>+G8+G7</f>
        <v>3509</v>
      </c>
      <c r="H9" s="34"/>
      <c r="I9" s="34">
        <f t="shared" ref="I9:V9" si="0">SUM(I7:I8)</f>
        <v>0</v>
      </c>
      <c r="J9" s="34">
        <f t="shared" si="0"/>
        <v>0</v>
      </c>
      <c r="K9" s="34">
        <f t="shared" si="0"/>
        <v>22677.15</v>
      </c>
      <c r="L9" s="34">
        <f t="shared" si="0"/>
        <v>0</v>
      </c>
      <c r="M9" s="34">
        <f t="shared" si="0"/>
        <v>3976.855</v>
      </c>
      <c r="N9" s="34">
        <f t="shared" si="0"/>
        <v>3976.855</v>
      </c>
      <c r="O9" s="34">
        <f t="shared" si="0"/>
        <v>0</v>
      </c>
      <c r="P9" s="34">
        <f>SUM(P7:P8)</f>
        <v>2607.8622500000001</v>
      </c>
      <c r="Q9" s="34">
        <f t="shared" si="0"/>
        <v>10093.71725</v>
      </c>
      <c r="R9" s="264">
        <f>SUM(R7:R8)</f>
        <v>12583.43275</v>
      </c>
      <c r="S9" s="34">
        <f t="shared" si="0"/>
        <v>1016.1763440901553</v>
      </c>
      <c r="T9" s="34">
        <f t="shared" si="0"/>
        <v>4648.8112500000007</v>
      </c>
      <c r="U9" s="34">
        <f t="shared" si="0"/>
        <v>453.54300000000001</v>
      </c>
      <c r="V9" s="34">
        <f t="shared" si="0"/>
        <v>6118.5305940901562</v>
      </c>
    </row>
    <row r="10" spans="2:23" ht="10.5" hidden="1" customHeight="1" x14ac:dyDescent="0.3">
      <c r="C10" s="133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265"/>
    </row>
    <row r="11" spans="2:23" ht="18.75" x14ac:dyDescent="0.3">
      <c r="B11" s="2" t="s">
        <v>27</v>
      </c>
      <c r="C11" s="270" t="s">
        <v>28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265"/>
    </row>
    <row r="12" spans="2:23" ht="18.75" x14ac:dyDescent="0.3">
      <c r="B12" t="s">
        <v>32</v>
      </c>
      <c r="C12" s="269" t="s">
        <v>37</v>
      </c>
      <c r="D12" t="s">
        <v>230</v>
      </c>
      <c r="E12" s="15">
        <v>10400</v>
      </c>
      <c r="F12" s="29">
        <v>15</v>
      </c>
      <c r="G12" s="73">
        <v>3334</v>
      </c>
      <c r="H12" s="15"/>
      <c r="I12" s="15"/>
      <c r="J12" s="15"/>
      <c r="K12" s="15">
        <f t="shared" ref="K12:K18" si="1">E12-I12</f>
        <v>10400</v>
      </c>
      <c r="L12" s="15">
        <v>0</v>
      </c>
      <c r="M12" s="15">
        <v>1667.21</v>
      </c>
      <c r="N12" s="15">
        <f t="shared" ref="N12:N17" si="2">M12-L12</f>
        <v>1667.21</v>
      </c>
      <c r="O12" s="15">
        <v>0</v>
      </c>
      <c r="P12" s="287">
        <f t="shared" ref="P12:P17" si="3">E12*0.115</f>
        <v>1196</v>
      </c>
      <c r="Q12" s="15">
        <f t="shared" ref="Q12:Q19" si="4">SUM(N12:P12)+G12</f>
        <v>6197.21</v>
      </c>
      <c r="R12" s="88">
        <f t="shared" ref="R12:R19" si="5">K12-Q12</f>
        <v>4202.79</v>
      </c>
      <c r="S12" s="263">
        <f>+'[1]IMSS INCREMENTO 4%'!$AR$4/2</f>
        <v>481.74497987214613</v>
      </c>
      <c r="T12" s="263">
        <f>+E12*17.5%+312</f>
        <v>2132</v>
      </c>
      <c r="U12" s="288">
        <f>+E12*2%</f>
        <v>208</v>
      </c>
      <c r="V12" s="35">
        <f t="shared" ref="V12:V19" si="6">SUM(S12:U12)</f>
        <v>2821.7449798721464</v>
      </c>
    </row>
    <row r="13" spans="2:23" ht="18.75" x14ac:dyDescent="0.3">
      <c r="B13" t="s">
        <v>33</v>
      </c>
      <c r="C13" s="269" t="s">
        <v>38</v>
      </c>
      <c r="D13" t="s">
        <v>232</v>
      </c>
      <c r="E13" s="15">
        <v>5564</v>
      </c>
      <c r="F13" s="29">
        <v>15</v>
      </c>
      <c r="G13" s="15"/>
      <c r="H13" s="15"/>
      <c r="I13" s="77"/>
      <c r="J13" s="19"/>
      <c r="K13" s="15">
        <f>E13-I13</f>
        <v>5564</v>
      </c>
      <c r="L13" s="15">
        <v>0</v>
      </c>
      <c r="M13" s="15">
        <v>633.91</v>
      </c>
      <c r="N13" s="15">
        <f t="shared" si="2"/>
        <v>633.91</v>
      </c>
      <c r="O13" s="15">
        <v>0</v>
      </c>
      <c r="P13" s="287">
        <f t="shared" si="3"/>
        <v>639.86</v>
      </c>
      <c r="Q13" s="15">
        <f t="shared" si="4"/>
        <v>1273.77</v>
      </c>
      <c r="R13" s="88">
        <f t="shared" si="5"/>
        <v>4290.2299999999996</v>
      </c>
      <c r="S13" s="263">
        <f>+'[1]IMSS INCREMENTO 4%'!$AR$5/2</f>
        <v>346.01175335159814</v>
      </c>
      <c r="T13" s="263">
        <f>+E13*17.5%+166.92</f>
        <v>1140.6199999999999</v>
      </c>
      <c r="U13" s="288">
        <f>+E13*2%</f>
        <v>111.28</v>
      </c>
      <c r="V13" s="35">
        <f t="shared" si="6"/>
        <v>1597.911753351598</v>
      </c>
    </row>
    <row r="14" spans="2:23" ht="18.75" x14ac:dyDescent="0.3">
      <c r="B14" t="s">
        <v>34</v>
      </c>
      <c r="C14" s="269" t="s">
        <v>178</v>
      </c>
      <c r="D14" t="s">
        <v>231</v>
      </c>
      <c r="E14" s="15">
        <v>5564</v>
      </c>
      <c r="F14" s="29">
        <v>15</v>
      </c>
      <c r="G14" s="15"/>
      <c r="H14" s="20"/>
      <c r="I14" s="77"/>
      <c r="J14" s="19"/>
      <c r="K14" s="15">
        <f>+E14+H14-I14</f>
        <v>5564</v>
      </c>
      <c r="L14" s="15">
        <v>0</v>
      </c>
      <c r="M14" s="15">
        <v>633.91</v>
      </c>
      <c r="N14" s="15">
        <f t="shared" si="2"/>
        <v>633.91</v>
      </c>
      <c r="O14" s="15">
        <v>0</v>
      </c>
      <c r="P14" s="287">
        <f t="shared" si="3"/>
        <v>639.86</v>
      </c>
      <c r="Q14" s="15">
        <f t="shared" si="4"/>
        <v>1273.77</v>
      </c>
      <c r="R14" s="88">
        <f t="shared" si="5"/>
        <v>4290.2299999999996</v>
      </c>
      <c r="S14" s="263">
        <f>+'[1]IMSS INCREMENTO 4%'!$AR$6/2</f>
        <v>346.01175335159814</v>
      </c>
      <c r="T14" s="263">
        <f>+E14*17.5%+166.92</f>
        <v>1140.6199999999999</v>
      </c>
      <c r="U14" s="288">
        <f t="shared" ref="U14:U19" si="7">+E14*2%</f>
        <v>111.28</v>
      </c>
      <c r="V14" s="35">
        <f t="shared" si="6"/>
        <v>1597.911753351598</v>
      </c>
    </row>
    <row r="15" spans="2:23" ht="18.75" x14ac:dyDescent="0.3">
      <c r="B15" t="s">
        <v>35</v>
      </c>
      <c r="C15" s="133" t="s">
        <v>111</v>
      </c>
      <c r="D15" t="s">
        <v>77</v>
      </c>
      <c r="E15" s="15">
        <v>6240</v>
      </c>
      <c r="F15" s="29">
        <v>15</v>
      </c>
      <c r="G15" s="15"/>
      <c r="H15" s="15"/>
      <c r="I15" s="15"/>
      <c r="J15" s="15"/>
      <c r="K15" s="15">
        <f t="shared" si="1"/>
        <v>6240</v>
      </c>
      <c r="L15" s="15">
        <v>0</v>
      </c>
      <c r="M15" s="15">
        <v>778.31</v>
      </c>
      <c r="N15" s="15">
        <f t="shared" si="2"/>
        <v>778.31</v>
      </c>
      <c r="O15" s="15">
        <v>0</v>
      </c>
      <c r="P15" s="287">
        <f>E15*0.115</f>
        <v>717.6</v>
      </c>
      <c r="Q15" s="15">
        <f t="shared" si="4"/>
        <v>1495.9099999999999</v>
      </c>
      <c r="R15" s="88">
        <f t="shared" si="5"/>
        <v>4744.09</v>
      </c>
      <c r="S15" s="263">
        <f>+'[1]IMSS INCREMENTO 4%'!$AR$7/2</f>
        <v>364.98521512328773</v>
      </c>
      <c r="T15" s="263">
        <f>+E15*17.5%+187.2</f>
        <v>1279.2</v>
      </c>
      <c r="U15" s="288">
        <f t="shared" si="7"/>
        <v>124.8</v>
      </c>
      <c r="V15" s="35">
        <f t="shared" si="6"/>
        <v>1768.9852151232878</v>
      </c>
    </row>
    <row r="16" spans="2:23" ht="18.75" x14ac:dyDescent="0.3">
      <c r="B16" t="s">
        <v>36</v>
      </c>
      <c r="C16" s="133" t="s">
        <v>86</v>
      </c>
      <c r="D16" t="s">
        <v>233</v>
      </c>
      <c r="E16" s="15">
        <v>4680</v>
      </c>
      <c r="F16" s="29">
        <v>15</v>
      </c>
      <c r="G16" s="73">
        <v>1000</v>
      </c>
      <c r="H16" s="15"/>
      <c r="I16" s="77"/>
      <c r="J16" s="15"/>
      <c r="K16" s="15">
        <f t="shared" si="1"/>
        <v>4680</v>
      </c>
      <c r="L16" s="15">
        <v>0</v>
      </c>
      <c r="M16" s="15">
        <v>461.23</v>
      </c>
      <c r="N16" s="15">
        <f t="shared" si="2"/>
        <v>461.23</v>
      </c>
      <c r="O16" s="15">
        <v>0</v>
      </c>
      <c r="P16" s="287">
        <f t="shared" si="3"/>
        <v>538.20000000000005</v>
      </c>
      <c r="Q16" s="15">
        <f t="shared" si="4"/>
        <v>1999.43</v>
      </c>
      <c r="R16" s="88">
        <f t="shared" si="5"/>
        <v>2680.5699999999997</v>
      </c>
      <c r="S16" s="263">
        <f>+'[1]IMSS INCREMENTO 4%'!$AR$8/2</f>
        <v>321.20030334246576</v>
      </c>
      <c r="T16" s="263">
        <f>+E16*17.5%+140.4</f>
        <v>959.4</v>
      </c>
      <c r="U16" s="288">
        <f t="shared" si="7"/>
        <v>93.600000000000009</v>
      </c>
      <c r="V16" s="35">
        <f t="shared" si="6"/>
        <v>1374.2003033424658</v>
      </c>
    </row>
    <row r="17" spans="2:22" ht="18.75" x14ac:dyDescent="0.3">
      <c r="B17" t="s">
        <v>115</v>
      </c>
      <c r="C17" s="133" t="s">
        <v>87</v>
      </c>
      <c r="D17" t="s">
        <v>234</v>
      </c>
      <c r="E17" s="15">
        <v>4680</v>
      </c>
      <c r="F17" s="29">
        <v>15</v>
      </c>
      <c r="G17" s="73">
        <v>1106.6199999999999</v>
      </c>
      <c r="H17" s="15"/>
      <c r="I17" s="15"/>
      <c r="J17" s="15"/>
      <c r="K17" s="15">
        <f t="shared" si="1"/>
        <v>4680</v>
      </c>
      <c r="L17" s="15">
        <v>0</v>
      </c>
      <c r="M17" s="15">
        <v>461.23</v>
      </c>
      <c r="N17" s="15">
        <f t="shared" si="2"/>
        <v>461.23</v>
      </c>
      <c r="O17" s="15">
        <v>0</v>
      </c>
      <c r="P17" s="287">
        <f t="shared" si="3"/>
        <v>538.20000000000005</v>
      </c>
      <c r="Q17" s="15">
        <f t="shared" si="4"/>
        <v>2106.0500000000002</v>
      </c>
      <c r="R17" s="88">
        <f t="shared" si="5"/>
        <v>2573.9499999999998</v>
      </c>
      <c r="S17" s="263">
        <f>+'[1]IMSS INCREMENTO 4%'!$AR$9/2</f>
        <v>321.20030334246576</v>
      </c>
      <c r="T17" s="263">
        <f>+E17*17.5%+140.4</f>
        <v>959.4</v>
      </c>
      <c r="U17" s="288">
        <f t="shared" si="7"/>
        <v>93.600000000000009</v>
      </c>
      <c r="V17" s="35">
        <f t="shared" si="6"/>
        <v>1374.2003033424658</v>
      </c>
    </row>
    <row r="18" spans="2:22" ht="18.75" x14ac:dyDescent="0.3">
      <c r="B18" t="s">
        <v>116</v>
      </c>
      <c r="C18" s="133" t="s">
        <v>89</v>
      </c>
      <c r="D18" t="s">
        <v>4</v>
      </c>
      <c r="E18" s="15">
        <v>2808</v>
      </c>
      <c r="F18" s="29">
        <v>15</v>
      </c>
      <c r="G18" s="73">
        <v>600</v>
      </c>
      <c r="H18" s="15"/>
      <c r="I18" s="15"/>
      <c r="J18" s="15"/>
      <c r="K18" s="15">
        <f t="shared" si="1"/>
        <v>2808</v>
      </c>
      <c r="L18" s="15">
        <v>147.32</v>
      </c>
      <c r="M18" s="15">
        <v>200.09</v>
      </c>
      <c r="N18" s="15">
        <f>+M18-L18</f>
        <v>52.77000000000001</v>
      </c>
      <c r="O18" s="15">
        <v>0</v>
      </c>
      <c r="P18" s="287">
        <f>E18*0.115</f>
        <v>322.92</v>
      </c>
      <c r="Q18" s="15">
        <f t="shared" si="4"/>
        <v>975.69</v>
      </c>
      <c r="R18" s="88">
        <f t="shared" si="5"/>
        <v>1832.31</v>
      </c>
      <c r="S18" s="263">
        <f>+'[1]IMSS INCREMENTO 4%'!$AR$10/2</f>
        <v>268.65840920547942</v>
      </c>
      <c r="T18" s="263">
        <f>+E18*17.5%+84.24</f>
        <v>575.64</v>
      </c>
      <c r="U18" s="288">
        <f t="shared" si="7"/>
        <v>56.160000000000004</v>
      </c>
      <c r="V18" s="35">
        <f t="shared" si="6"/>
        <v>900.45840920547937</v>
      </c>
    </row>
    <row r="19" spans="2:22" ht="18.75" x14ac:dyDescent="0.3">
      <c r="B19" t="s">
        <v>117</v>
      </c>
      <c r="C19" s="133" t="s">
        <v>88</v>
      </c>
      <c r="D19" t="s">
        <v>235</v>
      </c>
      <c r="E19" s="15">
        <v>3276</v>
      </c>
      <c r="F19" s="29">
        <v>15</v>
      </c>
      <c r="G19" s="73">
        <v>525</v>
      </c>
      <c r="H19" s="15"/>
      <c r="I19" s="15"/>
      <c r="J19" s="15"/>
      <c r="K19" s="15">
        <f>E19-I19</f>
        <v>3276</v>
      </c>
      <c r="L19" s="15">
        <v>126.77</v>
      </c>
      <c r="M19" s="15">
        <v>251</v>
      </c>
      <c r="N19" s="15">
        <f>+M19-L19</f>
        <v>124.23</v>
      </c>
      <c r="O19" s="15">
        <v>0</v>
      </c>
      <c r="P19" s="287">
        <f>E19*0.115</f>
        <v>376.74</v>
      </c>
      <c r="Q19" s="15">
        <f t="shared" si="4"/>
        <v>1025.97</v>
      </c>
      <c r="R19" s="88">
        <f t="shared" si="5"/>
        <v>2250.0299999999997</v>
      </c>
      <c r="S19" s="263">
        <f>+'[1]IMSS INCREMENTO 4%'!$AR$11/2</f>
        <v>281.79388273972603</v>
      </c>
      <c r="T19" s="263">
        <f>+E19*17.5%+98.28</f>
        <v>671.57999999999993</v>
      </c>
      <c r="U19" s="288">
        <f t="shared" si="7"/>
        <v>65.52</v>
      </c>
      <c r="V19" s="35">
        <f t="shared" si="6"/>
        <v>1018.893882739726</v>
      </c>
    </row>
    <row r="20" spans="2:22" ht="18.75" x14ac:dyDescent="0.3">
      <c r="B20" s="2" t="s">
        <v>26</v>
      </c>
      <c r="C20" s="270"/>
      <c r="D20" s="30"/>
      <c r="E20" s="34">
        <f>SUM(E12:E19)</f>
        <v>43212</v>
      </c>
      <c r="F20" s="34"/>
      <c r="G20" s="34">
        <f>+G19+G18+G17+G16+G12</f>
        <v>6565.62</v>
      </c>
      <c r="H20" s="34"/>
      <c r="I20" s="34">
        <f t="shared" ref="I20:V20" si="8">SUM(I12:I19)</f>
        <v>0</v>
      </c>
      <c r="J20" s="34">
        <f t="shared" si="8"/>
        <v>0</v>
      </c>
      <c r="K20" s="34">
        <f t="shared" si="8"/>
        <v>43212</v>
      </c>
      <c r="L20" s="34">
        <f t="shared" si="8"/>
        <v>274.08999999999997</v>
      </c>
      <c r="M20" s="34">
        <f t="shared" si="8"/>
        <v>5086.8899999999994</v>
      </c>
      <c r="N20" s="34">
        <f t="shared" si="8"/>
        <v>4812.7999999999993</v>
      </c>
      <c r="O20" s="34">
        <f t="shared" si="8"/>
        <v>0</v>
      </c>
      <c r="P20" s="34">
        <f>SUM(P12:P19)</f>
        <v>4969.38</v>
      </c>
      <c r="Q20" s="34">
        <f t="shared" si="8"/>
        <v>16347.8</v>
      </c>
      <c r="R20" s="264">
        <f>SUM(R12:R19)</f>
        <v>26864.2</v>
      </c>
      <c r="S20" s="34">
        <f t="shared" si="8"/>
        <v>2731.6066003287674</v>
      </c>
      <c r="T20" s="34">
        <f t="shared" si="8"/>
        <v>8858.4599999999991</v>
      </c>
      <c r="U20" s="34">
        <f t="shared" si="8"/>
        <v>864.2399999999999</v>
      </c>
      <c r="V20" s="34">
        <f t="shared" si="8"/>
        <v>12454.306600328768</v>
      </c>
    </row>
    <row r="21" spans="2:22" ht="18.75" hidden="1" x14ac:dyDescent="0.3">
      <c r="B21" s="2"/>
      <c r="C21" s="133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265"/>
    </row>
    <row r="22" spans="2:22" ht="18.75" x14ac:dyDescent="0.3">
      <c r="B22" s="2" t="s">
        <v>50</v>
      </c>
      <c r="C22" s="270" t="s">
        <v>160</v>
      </c>
      <c r="E22" s="15"/>
      <c r="F22" s="15"/>
      <c r="G22" s="15"/>
      <c r="H22" s="15"/>
      <c r="I22" s="15"/>
      <c r="J22" s="15"/>
      <c r="K22" s="113"/>
      <c r="L22" s="113"/>
      <c r="M22" s="15"/>
      <c r="N22" s="15"/>
      <c r="O22" s="15"/>
      <c r="P22" s="15"/>
      <c r="Q22" s="15"/>
      <c r="R22" s="265"/>
    </row>
    <row r="23" spans="2:22" ht="18.75" x14ac:dyDescent="0.3">
      <c r="B23" t="s">
        <v>119</v>
      </c>
      <c r="C23" s="133" t="s">
        <v>224</v>
      </c>
      <c r="D23" t="s">
        <v>236</v>
      </c>
      <c r="E23" s="15">
        <v>5350</v>
      </c>
      <c r="F23" s="29">
        <v>15</v>
      </c>
      <c r="G23" s="20"/>
      <c r="H23" s="15"/>
      <c r="I23" s="15"/>
      <c r="J23" s="15"/>
      <c r="K23" s="15">
        <f>E23-I23</f>
        <v>5350</v>
      </c>
      <c r="L23" s="15">
        <v>0</v>
      </c>
      <c r="M23" s="20">
        <v>588.20000000000005</v>
      </c>
      <c r="N23" s="15">
        <f>M23-L23</f>
        <v>588.20000000000005</v>
      </c>
      <c r="O23" s="15">
        <v>0</v>
      </c>
      <c r="P23" s="20"/>
      <c r="Q23" s="15">
        <f>SUM(N23:P23)+G23</f>
        <v>588.20000000000005</v>
      </c>
      <c r="R23" s="88">
        <f>K23-Q23</f>
        <v>4761.8</v>
      </c>
      <c r="S23" s="263">
        <f>+'[1]IMSS INCREMENTO 4%'!$AR$13/2</f>
        <v>340.00536160730593</v>
      </c>
      <c r="T23" s="263"/>
      <c r="U23" s="263"/>
      <c r="V23" s="35">
        <f t="shared" ref="V23" si="9">SUM(S23:U23)</f>
        <v>340.00536160730593</v>
      </c>
    </row>
    <row r="24" spans="2:22" ht="18.75" x14ac:dyDescent="0.3">
      <c r="B24" t="s">
        <v>228</v>
      </c>
      <c r="C24" s="133" t="s">
        <v>229</v>
      </c>
      <c r="D24" t="s">
        <v>237</v>
      </c>
      <c r="E24" s="15">
        <v>5350</v>
      </c>
      <c r="F24" s="29">
        <v>15</v>
      </c>
      <c r="G24" s="20"/>
      <c r="H24" s="15"/>
      <c r="I24" s="301">
        <v>0.88</v>
      </c>
      <c r="J24" s="15"/>
      <c r="K24" s="15">
        <f>E24-I24</f>
        <v>5349.12</v>
      </c>
      <c r="L24" s="15">
        <v>0</v>
      </c>
      <c r="M24" s="20">
        <v>588.20000000000005</v>
      </c>
      <c r="N24" s="15">
        <f>M24-L24</f>
        <v>588.20000000000005</v>
      </c>
      <c r="O24" s="15">
        <v>0</v>
      </c>
      <c r="P24" s="20"/>
      <c r="Q24" s="15">
        <f>SUM(N24:P24)+G24</f>
        <v>588.20000000000005</v>
      </c>
      <c r="R24" s="88">
        <f>K24-Q24</f>
        <v>4760.92</v>
      </c>
      <c r="S24" s="263">
        <f>+'[1]IMSS INCREMENTO 4%'!$AR$12/2</f>
        <v>340.00536160730593</v>
      </c>
      <c r="T24" s="263"/>
      <c r="U24" s="263"/>
      <c r="V24" s="35">
        <f t="shared" ref="V24" si="10">SUM(S24:U24)</f>
        <v>340.00536160730593</v>
      </c>
    </row>
    <row r="25" spans="2:22" ht="18.75" x14ac:dyDescent="0.3">
      <c r="B25" t="s">
        <v>120</v>
      </c>
      <c r="C25" s="133" t="s">
        <v>93</v>
      </c>
      <c r="D25" t="s">
        <v>238</v>
      </c>
      <c r="E25" s="15">
        <v>5564</v>
      </c>
      <c r="F25" s="29">
        <v>15</v>
      </c>
      <c r="G25" s="73">
        <v>1115</v>
      </c>
      <c r="H25" s="15"/>
      <c r="I25" s="71"/>
      <c r="J25" s="15"/>
      <c r="K25" s="15">
        <f>E25-I25</f>
        <v>5564</v>
      </c>
      <c r="L25" s="15">
        <v>0</v>
      </c>
      <c r="M25" s="15">
        <v>633.91</v>
      </c>
      <c r="N25" s="15">
        <f>M25-L25</f>
        <v>633.91</v>
      </c>
      <c r="O25" s="15">
        <v>0</v>
      </c>
      <c r="P25" s="287">
        <f>E25*0.115</f>
        <v>639.86</v>
      </c>
      <c r="Q25" s="15">
        <f>SUM(N25:P25)+G25</f>
        <v>2388.77</v>
      </c>
      <c r="R25" s="88">
        <f>K25-Q25</f>
        <v>3175.23</v>
      </c>
      <c r="S25" s="263">
        <f>+'[1]IMSS INCREMENTO 4%'!$AR$14/2</f>
        <v>346.01175335159814</v>
      </c>
      <c r="T25" s="263">
        <f>+E25*17.5%+166.92</f>
        <v>1140.6199999999999</v>
      </c>
      <c r="U25" s="288">
        <f t="shared" ref="U25:U26" si="11">+E25*2%</f>
        <v>111.28</v>
      </c>
      <c r="V25" s="35">
        <f>SUM(S25:U25)</f>
        <v>1597.911753351598</v>
      </c>
    </row>
    <row r="26" spans="2:22" ht="18.75" x14ac:dyDescent="0.3">
      <c r="B26" t="s">
        <v>121</v>
      </c>
      <c r="C26" s="133" t="s">
        <v>114</v>
      </c>
      <c r="D26" t="s">
        <v>237</v>
      </c>
      <c r="E26" s="15">
        <v>5564</v>
      </c>
      <c r="F26" s="29">
        <v>15</v>
      </c>
      <c r="G26" s="73">
        <v>1189</v>
      </c>
      <c r="H26" s="15"/>
      <c r="I26" s="77"/>
      <c r="J26" s="15"/>
      <c r="K26" s="15">
        <f>E26-I26</f>
        <v>5564</v>
      </c>
      <c r="L26" s="15">
        <v>0</v>
      </c>
      <c r="M26" s="15">
        <v>633.91</v>
      </c>
      <c r="N26" s="15">
        <f>M26-L26</f>
        <v>633.91</v>
      </c>
      <c r="O26" s="15">
        <v>0</v>
      </c>
      <c r="P26" s="287">
        <f>E26*0.115</f>
        <v>639.86</v>
      </c>
      <c r="Q26" s="15">
        <f>SUM(N26:P26)+G26</f>
        <v>2462.77</v>
      </c>
      <c r="R26" s="88">
        <f>K26-Q26</f>
        <v>3101.23</v>
      </c>
      <c r="S26" s="263">
        <f>+'[1]IMSS INCREMENTO 4%'!$AR$15/2</f>
        <v>346.01175335159814</v>
      </c>
      <c r="T26" s="263">
        <f>+E26*17.5%+166.92</f>
        <v>1140.6199999999999</v>
      </c>
      <c r="U26" s="288">
        <f t="shared" si="11"/>
        <v>111.28</v>
      </c>
      <c r="V26" s="35">
        <f>SUM(S26:U26)</f>
        <v>1597.911753351598</v>
      </c>
    </row>
    <row r="27" spans="2:22" ht="18.75" x14ac:dyDescent="0.3">
      <c r="B27" s="2" t="s">
        <v>26</v>
      </c>
      <c r="C27" s="270"/>
      <c r="D27" s="30"/>
      <c r="E27" s="34">
        <f>SUM(E23:E26)</f>
        <v>21828</v>
      </c>
      <c r="F27" s="34"/>
      <c r="G27" s="34">
        <f>+G26+G25+G23+G24</f>
        <v>2304</v>
      </c>
      <c r="H27" s="34"/>
      <c r="I27" s="34">
        <f t="shared" ref="I27:N27" si="12">SUM(I23:I26)</f>
        <v>0.88</v>
      </c>
      <c r="J27" s="34">
        <f t="shared" si="12"/>
        <v>0</v>
      </c>
      <c r="K27" s="34">
        <f t="shared" si="12"/>
        <v>21827.119999999999</v>
      </c>
      <c r="L27" s="34">
        <f t="shared" si="12"/>
        <v>0</v>
      </c>
      <c r="M27" s="34">
        <f t="shared" si="12"/>
        <v>2444.2199999999998</v>
      </c>
      <c r="N27" s="34">
        <f t="shared" si="12"/>
        <v>2444.2199999999998</v>
      </c>
      <c r="O27" s="34">
        <f t="shared" ref="O27:V27" si="13">SUM(O23:O26)</f>
        <v>0</v>
      </c>
      <c r="P27" s="34">
        <f t="shared" si="13"/>
        <v>1279.72</v>
      </c>
      <c r="Q27" s="34">
        <f t="shared" si="13"/>
        <v>6027.9400000000005</v>
      </c>
      <c r="R27" s="264">
        <f t="shared" si="13"/>
        <v>15799.18</v>
      </c>
      <c r="S27" s="34">
        <f t="shared" si="13"/>
        <v>1372.0342299178083</v>
      </c>
      <c r="T27" s="34">
        <f t="shared" si="13"/>
        <v>2281.2399999999998</v>
      </c>
      <c r="U27" s="34">
        <f t="shared" si="13"/>
        <v>222.56</v>
      </c>
      <c r="V27" s="34">
        <f t="shared" si="13"/>
        <v>3875.8342299178075</v>
      </c>
    </row>
    <row r="28" spans="2:22" ht="18.75" hidden="1" x14ac:dyDescent="0.3">
      <c r="C28" s="133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265"/>
    </row>
    <row r="29" spans="2:22" ht="18.75" x14ac:dyDescent="0.3">
      <c r="B29" s="2" t="s">
        <v>63</v>
      </c>
      <c r="C29" s="270" t="s">
        <v>51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265"/>
    </row>
    <row r="30" spans="2:22" ht="18.75" x14ac:dyDescent="0.3">
      <c r="B30" t="s">
        <v>122</v>
      </c>
      <c r="C30" s="133" t="s">
        <v>97</v>
      </c>
      <c r="D30" t="s">
        <v>80</v>
      </c>
      <c r="E30" s="15">
        <v>5564</v>
      </c>
      <c r="F30" s="29">
        <v>15</v>
      </c>
      <c r="G30" s="15"/>
      <c r="H30" s="15"/>
      <c r="I30" s="71"/>
      <c r="J30" s="15"/>
      <c r="K30" s="15">
        <f t="shared" ref="K30:K39" si="14">E30-I30</f>
        <v>5564</v>
      </c>
      <c r="L30" s="15">
        <v>0</v>
      </c>
      <c r="M30" s="15">
        <v>633.91</v>
      </c>
      <c r="N30" s="15">
        <f>M30-L30</f>
        <v>633.91</v>
      </c>
      <c r="O30" s="15">
        <v>0</v>
      </c>
      <c r="P30" s="287">
        <f>E30*0.115</f>
        <v>639.86</v>
      </c>
      <c r="Q30" s="15">
        <f t="shared" ref="Q30:Q40" si="15">SUM(N30:P30)+G30</f>
        <v>1273.77</v>
      </c>
      <c r="R30" s="88">
        <f t="shared" ref="R30:R40" si="16">K30-Q30</f>
        <v>4290.2299999999996</v>
      </c>
      <c r="S30" s="263">
        <f>+'[1]IMSS INCREMENTO 4%'!$AR$16/2</f>
        <v>346.01175335159814</v>
      </c>
      <c r="T30" s="263">
        <f>+E30*17.5%+166.92</f>
        <v>1140.6199999999999</v>
      </c>
      <c r="U30" s="288">
        <f t="shared" ref="U30:U40" si="17">+E30*2%</f>
        <v>111.28</v>
      </c>
      <c r="V30" s="35">
        <f>SUM(S30:U30)</f>
        <v>1597.911753351598</v>
      </c>
    </row>
    <row r="31" spans="2:22" ht="18.75" x14ac:dyDescent="0.3">
      <c r="B31" t="s">
        <v>123</v>
      </c>
      <c r="C31" s="133" t="s">
        <v>100</v>
      </c>
      <c r="D31" t="s">
        <v>80</v>
      </c>
      <c r="E31" s="15">
        <v>5564</v>
      </c>
      <c r="F31" s="29">
        <v>15</v>
      </c>
      <c r="G31" s="73">
        <v>904</v>
      </c>
      <c r="H31" s="15"/>
      <c r="I31" s="77">
        <v>0.88</v>
      </c>
      <c r="J31" s="20"/>
      <c r="K31" s="20">
        <f t="shared" si="14"/>
        <v>5563.12</v>
      </c>
      <c r="L31" s="20">
        <v>0</v>
      </c>
      <c r="M31" s="15">
        <v>633.91</v>
      </c>
      <c r="N31" s="15">
        <f t="shared" ref="N31:N40" si="18">M31-L31</f>
        <v>633.91</v>
      </c>
      <c r="O31" s="15">
        <v>0</v>
      </c>
      <c r="P31" s="287">
        <f t="shared" ref="P31:P40" si="19">E31*0.115</f>
        <v>639.86</v>
      </c>
      <c r="Q31" s="15">
        <f t="shared" si="15"/>
        <v>2177.77</v>
      </c>
      <c r="R31" s="88">
        <f t="shared" si="16"/>
        <v>3385.35</v>
      </c>
      <c r="S31" s="263">
        <f>+'[1]IMSS INCREMENTO 4%'!$AR$17/2</f>
        <v>346.01175335159814</v>
      </c>
      <c r="T31" s="263">
        <f>+E31*17.5%+166.92</f>
        <v>1140.6199999999999</v>
      </c>
      <c r="U31" s="288">
        <f t="shared" si="17"/>
        <v>111.28</v>
      </c>
      <c r="V31" s="35">
        <f>SUM(S31:U31)</f>
        <v>1597.911753351598</v>
      </c>
    </row>
    <row r="32" spans="2:22" ht="18.75" x14ac:dyDescent="0.3">
      <c r="B32" t="s">
        <v>124</v>
      </c>
      <c r="C32" s="133" t="s">
        <v>96</v>
      </c>
      <c r="D32" t="s">
        <v>239</v>
      </c>
      <c r="E32" s="15">
        <v>6240</v>
      </c>
      <c r="F32" s="29">
        <v>15</v>
      </c>
      <c r="G32" s="15"/>
      <c r="H32" s="15"/>
      <c r="I32" s="15"/>
      <c r="J32" s="15"/>
      <c r="K32" s="15">
        <f t="shared" si="14"/>
        <v>6240</v>
      </c>
      <c r="L32" s="15">
        <v>0</v>
      </c>
      <c r="M32" s="15">
        <v>778.31</v>
      </c>
      <c r="N32" s="15">
        <f>M32-L32</f>
        <v>778.31</v>
      </c>
      <c r="O32" s="15">
        <v>0</v>
      </c>
      <c r="P32" s="287">
        <f>E32*0.115</f>
        <v>717.6</v>
      </c>
      <c r="Q32" s="15">
        <f t="shared" si="15"/>
        <v>1495.9099999999999</v>
      </c>
      <c r="R32" s="88">
        <f t="shared" si="16"/>
        <v>4744.09</v>
      </c>
      <c r="S32" s="263">
        <f>+'[1]IMSS INCREMENTO 4%'!$AR$18/2</f>
        <v>364.98521512328773</v>
      </c>
      <c r="T32" s="263">
        <f>+E32*17.5%+187.2</f>
        <v>1279.2</v>
      </c>
      <c r="U32" s="288">
        <f t="shared" si="17"/>
        <v>124.8</v>
      </c>
      <c r="V32" s="35">
        <f t="shared" ref="V32:V40" si="20">SUM(S32:U32)</f>
        <v>1768.9852151232878</v>
      </c>
    </row>
    <row r="33" spans="2:22" ht="18.75" x14ac:dyDescent="0.3">
      <c r="B33" t="s">
        <v>133</v>
      </c>
      <c r="C33" s="133" t="s">
        <v>225</v>
      </c>
      <c r="D33" t="s">
        <v>243</v>
      </c>
      <c r="E33" s="15">
        <v>5350</v>
      </c>
      <c r="F33" s="29">
        <v>15</v>
      </c>
      <c r="G33" s="15"/>
      <c r="H33" s="15"/>
      <c r="I33" s="15"/>
      <c r="J33" s="20"/>
      <c r="K33" s="20">
        <f t="shared" si="14"/>
        <v>5350</v>
      </c>
      <c r="L33" s="20">
        <v>0</v>
      </c>
      <c r="M33" s="20">
        <v>588.20000000000005</v>
      </c>
      <c r="N33" s="20">
        <f t="shared" si="18"/>
        <v>588.20000000000005</v>
      </c>
      <c r="O33" s="15">
        <v>0</v>
      </c>
      <c r="P33" s="20"/>
      <c r="Q33" s="15">
        <f>SUM(N33:P33)+G33</f>
        <v>588.20000000000005</v>
      </c>
      <c r="R33" s="88">
        <f>K33-Q33</f>
        <v>4761.8</v>
      </c>
      <c r="S33" s="263">
        <f>+'[1]IMSS INCREMENTO 4%'!$AR$27/2</f>
        <v>340.00536160730593</v>
      </c>
      <c r="T33" s="263"/>
      <c r="U33" s="263"/>
      <c r="V33" s="35">
        <f t="shared" ref="V33" si="21">SUM(S33:U33)</f>
        <v>340.00536160730593</v>
      </c>
    </row>
    <row r="34" spans="2:22" ht="18.75" x14ac:dyDescent="0.3">
      <c r="B34" t="s">
        <v>126</v>
      </c>
      <c r="C34" s="133" t="s">
        <v>94</v>
      </c>
      <c r="D34" t="s">
        <v>240</v>
      </c>
      <c r="E34" s="15">
        <v>5564</v>
      </c>
      <c r="F34" s="29">
        <v>15</v>
      </c>
      <c r="G34" s="73">
        <v>595</v>
      </c>
      <c r="H34" s="15"/>
      <c r="I34" s="77">
        <v>6.16</v>
      </c>
      <c r="J34" s="20"/>
      <c r="K34" s="20">
        <f>E34-I34</f>
        <v>5557.84</v>
      </c>
      <c r="L34" s="20">
        <v>0</v>
      </c>
      <c r="M34" s="15">
        <v>633.91</v>
      </c>
      <c r="N34" s="15">
        <f t="shared" si="18"/>
        <v>633.91</v>
      </c>
      <c r="O34" s="15">
        <v>0</v>
      </c>
      <c r="P34" s="287">
        <f t="shared" si="19"/>
        <v>639.86</v>
      </c>
      <c r="Q34" s="15">
        <f t="shared" si="15"/>
        <v>1868.77</v>
      </c>
      <c r="R34" s="88">
        <f t="shared" si="16"/>
        <v>3689.07</v>
      </c>
      <c r="S34" s="263">
        <f>+'[1]IMSS INCREMENTO 4%'!$AR$20/2</f>
        <v>346.01175335159814</v>
      </c>
      <c r="T34" s="263">
        <f t="shared" ref="T34:T40" si="22">+E34*17.5%+166.92</f>
        <v>1140.6199999999999</v>
      </c>
      <c r="U34" s="288">
        <f t="shared" si="17"/>
        <v>111.28</v>
      </c>
      <c r="V34" s="35">
        <f t="shared" si="20"/>
        <v>1597.911753351598</v>
      </c>
    </row>
    <row r="35" spans="2:22" ht="18.75" x14ac:dyDescent="0.3">
      <c r="B35" t="s">
        <v>127</v>
      </c>
      <c r="C35" s="133" t="s">
        <v>98</v>
      </c>
      <c r="D35" t="s">
        <v>240</v>
      </c>
      <c r="E35" s="15">
        <v>5564</v>
      </c>
      <c r="F35" s="29">
        <v>15</v>
      </c>
      <c r="G35" s="15"/>
      <c r="H35" s="20"/>
      <c r="I35" s="15"/>
      <c r="J35" s="20"/>
      <c r="K35" s="20">
        <f>E35-I35</f>
        <v>5564</v>
      </c>
      <c r="L35" s="20">
        <v>0</v>
      </c>
      <c r="M35" s="15">
        <v>633.91</v>
      </c>
      <c r="N35" s="20">
        <f t="shared" si="18"/>
        <v>633.91</v>
      </c>
      <c r="O35" s="15">
        <v>0</v>
      </c>
      <c r="P35" s="287">
        <f>E35*0.115</f>
        <v>639.86</v>
      </c>
      <c r="Q35" s="15">
        <f t="shared" si="15"/>
        <v>1273.77</v>
      </c>
      <c r="R35" s="88">
        <f t="shared" si="16"/>
        <v>4290.2299999999996</v>
      </c>
      <c r="S35" s="263">
        <f>+'[1]IMSS INCREMENTO 4%'!$AR$21/2</f>
        <v>346.01175335159814</v>
      </c>
      <c r="T35" s="263">
        <f t="shared" si="22"/>
        <v>1140.6199999999999</v>
      </c>
      <c r="U35" s="288">
        <f t="shared" si="17"/>
        <v>111.28</v>
      </c>
      <c r="V35" s="35">
        <f t="shared" si="20"/>
        <v>1597.911753351598</v>
      </c>
    </row>
    <row r="36" spans="2:22" ht="18.75" x14ac:dyDescent="0.3">
      <c r="B36" t="s">
        <v>128</v>
      </c>
      <c r="C36" s="133" t="s">
        <v>101</v>
      </c>
      <c r="D36" t="s">
        <v>240</v>
      </c>
      <c r="E36" s="15">
        <v>5564</v>
      </c>
      <c r="F36" s="29">
        <v>15</v>
      </c>
      <c r="G36" s="15"/>
      <c r="H36" s="15"/>
      <c r="I36" s="77"/>
      <c r="J36" s="20"/>
      <c r="K36" s="20">
        <f>E36-I36</f>
        <v>5564</v>
      </c>
      <c r="L36" s="20">
        <v>0</v>
      </c>
      <c r="M36" s="15">
        <v>633.91</v>
      </c>
      <c r="N36" s="15">
        <f>M36-L36</f>
        <v>633.91</v>
      </c>
      <c r="O36" s="15">
        <v>0</v>
      </c>
      <c r="P36" s="287">
        <f t="shared" si="19"/>
        <v>639.86</v>
      </c>
      <c r="Q36" s="15">
        <f t="shared" si="15"/>
        <v>1273.77</v>
      </c>
      <c r="R36" s="88">
        <f t="shared" si="16"/>
        <v>4290.2299999999996</v>
      </c>
      <c r="S36" s="263">
        <f>+'[1]IMSS INCREMENTO 4%'!$AR$22/2</f>
        <v>346.01175335159814</v>
      </c>
      <c r="T36" s="263">
        <f t="shared" si="22"/>
        <v>1140.6199999999999</v>
      </c>
      <c r="U36" s="288">
        <f t="shared" si="17"/>
        <v>111.28</v>
      </c>
      <c r="V36" s="35">
        <f t="shared" si="20"/>
        <v>1597.911753351598</v>
      </c>
    </row>
    <row r="37" spans="2:22" ht="18.75" x14ac:dyDescent="0.3">
      <c r="B37" t="s">
        <v>129</v>
      </c>
      <c r="C37" s="133" t="s">
        <v>95</v>
      </c>
      <c r="D37" t="s">
        <v>241</v>
      </c>
      <c r="E37" s="15">
        <v>5564</v>
      </c>
      <c r="F37" s="29">
        <v>15</v>
      </c>
      <c r="G37" s="20"/>
      <c r="H37" s="15"/>
      <c r="I37" s="77"/>
      <c r="J37" s="15"/>
      <c r="K37" s="15">
        <f t="shared" si="14"/>
        <v>5564</v>
      </c>
      <c r="L37" s="15">
        <v>0</v>
      </c>
      <c r="M37" s="15">
        <v>633.91</v>
      </c>
      <c r="N37" s="15">
        <f t="shared" si="18"/>
        <v>633.91</v>
      </c>
      <c r="O37" s="15">
        <v>0</v>
      </c>
      <c r="P37" s="287">
        <f t="shared" si="19"/>
        <v>639.86</v>
      </c>
      <c r="Q37" s="15">
        <f t="shared" si="15"/>
        <v>1273.77</v>
      </c>
      <c r="R37" s="88">
        <f t="shared" si="16"/>
        <v>4290.2299999999996</v>
      </c>
      <c r="S37" s="263">
        <f>+'[1]IMSS INCREMENTO 4%'!$AR$23/2</f>
        <v>346.01175335159814</v>
      </c>
      <c r="T37" s="263">
        <f t="shared" si="22"/>
        <v>1140.6199999999999</v>
      </c>
      <c r="U37" s="288">
        <f t="shared" si="17"/>
        <v>111.28</v>
      </c>
      <c r="V37" s="35">
        <f t="shared" si="20"/>
        <v>1597.911753351598</v>
      </c>
    </row>
    <row r="38" spans="2:22" ht="18.75" x14ac:dyDescent="0.3">
      <c r="B38" t="s">
        <v>130</v>
      </c>
      <c r="C38" s="133" t="s">
        <v>102</v>
      </c>
      <c r="D38" t="s">
        <v>241</v>
      </c>
      <c r="E38" s="15">
        <v>5564</v>
      </c>
      <c r="F38" s="29">
        <v>15</v>
      </c>
      <c r="G38" s="20"/>
      <c r="H38" s="15"/>
      <c r="I38" s="77"/>
      <c r="J38" s="15"/>
      <c r="K38" s="15">
        <f>E38-I38</f>
        <v>5564</v>
      </c>
      <c r="L38" s="15">
        <v>0</v>
      </c>
      <c r="M38" s="15">
        <v>633.91</v>
      </c>
      <c r="N38" s="15">
        <f t="shared" si="18"/>
        <v>633.91</v>
      </c>
      <c r="O38" s="15">
        <v>0</v>
      </c>
      <c r="P38" s="287">
        <f t="shared" si="19"/>
        <v>639.86</v>
      </c>
      <c r="Q38" s="15">
        <f t="shared" si="15"/>
        <v>1273.77</v>
      </c>
      <c r="R38" s="88">
        <f t="shared" si="16"/>
        <v>4290.2299999999996</v>
      </c>
      <c r="S38" s="263">
        <f>+'[1]IMSS INCREMENTO 4%'!$AR$24/2</f>
        <v>346.01175335159814</v>
      </c>
      <c r="T38" s="263">
        <f t="shared" si="22"/>
        <v>1140.6199999999999</v>
      </c>
      <c r="U38" s="288">
        <f t="shared" si="17"/>
        <v>111.28</v>
      </c>
      <c r="V38" s="35">
        <f t="shared" si="20"/>
        <v>1597.911753351598</v>
      </c>
    </row>
    <row r="39" spans="2:22" ht="18.75" x14ac:dyDescent="0.3">
      <c r="B39" t="s">
        <v>131</v>
      </c>
      <c r="C39" s="133" t="s">
        <v>85</v>
      </c>
      <c r="D39" t="s">
        <v>242</v>
      </c>
      <c r="E39" s="15">
        <v>5564</v>
      </c>
      <c r="F39" s="29">
        <v>15</v>
      </c>
      <c r="G39" s="73">
        <v>1784</v>
      </c>
      <c r="H39" s="15"/>
      <c r="I39" s="77"/>
      <c r="J39" s="15"/>
      <c r="K39" s="15">
        <f t="shared" si="14"/>
        <v>5564</v>
      </c>
      <c r="L39" s="15">
        <v>0</v>
      </c>
      <c r="M39" s="15">
        <v>633.91</v>
      </c>
      <c r="N39" s="15">
        <f t="shared" si="18"/>
        <v>633.91</v>
      </c>
      <c r="O39" s="15">
        <v>0</v>
      </c>
      <c r="P39" s="287">
        <f t="shared" si="19"/>
        <v>639.86</v>
      </c>
      <c r="Q39" s="15">
        <f t="shared" si="15"/>
        <v>3057.77</v>
      </c>
      <c r="R39" s="88">
        <f t="shared" si="16"/>
        <v>2506.23</v>
      </c>
      <c r="S39" s="263">
        <f>+'[1]IMSS INCREMENTO 4%'!$AR$25/2</f>
        <v>346.01175335159814</v>
      </c>
      <c r="T39" s="263">
        <f t="shared" si="22"/>
        <v>1140.6199999999999</v>
      </c>
      <c r="U39" s="288">
        <f t="shared" si="17"/>
        <v>111.28</v>
      </c>
      <c r="V39" s="35">
        <f t="shared" si="20"/>
        <v>1597.911753351598</v>
      </c>
    </row>
    <row r="40" spans="2:22" ht="18.75" x14ac:dyDescent="0.3">
      <c r="B40" t="s">
        <v>132</v>
      </c>
      <c r="C40" s="133" t="s">
        <v>103</v>
      </c>
      <c r="D40" t="s">
        <v>242</v>
      </c>
      <c r="E40" s="15">
        <v>5564</v>
      </c>
      <c r="F40" s="29">
        <v>15</v>
      </c>
      <c r="G40" s="73">
        <v>2293</v>
      </c>
      <c r="H40" s="15"/>
      <c r="I40" s="77"/>
      <c r="J40" s="15"/>
      <c r="K40" s="15">
        <f>E40-I40</f>
        <v>5564</v>
      </c>
      <c r="L40" s="15">
        <v>0</v>
      </c>
      <c r="M40" s="15">
        <v>633.91</v>
      </c>
      <c r="N40" s="15">
        <f t="shared" si="18"/>
        <v>633.91</v>
      </c>
      <c r="O40" s="15">
        <v>0</v>
      </c>
      <c r="P40" s="287">
        <f t="shared" si="19"/>
        <v>639.86</v>
      </c>
      <c r="Q40" s="15">
        <f t="shared" si="15"/>
        <v>3566.77</v>
      </c>
      <c r="R40" s="88">
        <f t="shared" si="16"/>
        <v>1997.23</v>
      </c>
      <c r="S40" s="263">
        <f>+'[1]IMSS INCREMENTO 4%'!$AR$26/2</f>
        <v>346.01175335159814</v>
      </c>
      <c r="T40" s="263">
        <f t="shared" si="22"/>
        <v>1140.6199999999999</v>
      </c>
      <c r="U40" s="288">
        <f t="shared" si="17"/>
        <v>111.28</v>
      </c>
      <c r="V40" s="35">
        <f t="shared" si="20"/>
        <v>1597.911753351598</v>
      </c>
    </row>
    <row r="41" spans="2:22" ht="18.75" x14ac:dyDescent="0.3">
      <c r="B41" s="2" t="s">
        <v>26</v>
      </c>
      <c r="C41" s="270"/>
      <c r="D41" s="30"/>
      <c r="E41" s="34">
        <f>SUM(E30:E40)</f>
        <v>61666</v>
      </c>
      <c r="F41" s="34"/>
      <c r="G41" s="34">
        <f>+G40+G39+G38+G37+G36+G35+G34+G31</f>
        <v>5576</v>
      </c>
      <c r="H41" s="34"/>
      <c r="I41" s="34">
        <f>SUM(I30:I40)</f>
        <v>7.04</v>
      </c>
      <c r="J41" s="34">
        <f t="shared" ref="J41:O41" si="23">SUM(J30:J40)</f>
        <v>0</v>
      </c>
      <c r="K41" s="34">
        <f>SUM(K30:K40)</f>
        <v>61658.96</v>
      </c>
      <c r="L41" s="34">
        <f>SUM(L30:L40)</f>
        <v>0</v>
      </c>
      <c r="M41" s="34">
        <f t="shared" si="23"/>
        <v>7071.6999999999989</v>
      </c>
      <c r="N41" s="34">
        <f>SUM(N30:N40)</f>
        <v>7071.6999999999989</v>
      </c>
      <c r="O41" s="34">
        <f t="shared" si="23"/>
        <v>0</v>
      </c>
      <c r="P41" s="34">
        <f t="shared" ref="P41:V41" si="24">SUM(P30:P40)</f>
        <v>6476.3399999999992</v>
      </c>
      <c r="Q41" s="34">
        <f t="shared" si="24"/>
        <v>19124.04</v>
      </c>
      <c r="R41" s="264">
        <f t="shared" si="24"/>
        <v>42534.92</v>
      </c>
      <c r="S41" s="34">
        <f t="shared" si="24"/>
        <v>3819.0963568949769</v>
      </c>
      <c r="T41" s="34">
        <f t="shared" si="24"/>
        <v>11544.779999999999</v>
      </c>
      <c r="U41" s="34">
        <f t="shared" si="24"/>
        <v>1126.32</v>
      </c>
      <c r="V41" s="34">
        <f t="shared" si="24"/>
        <v>16490.196356894976</v>
      </c>
    </row>
    <row r="42" spans="2:22" ht="18.75" hidden="1" x14ac:dyDescent="0.3">
      <c r="C42" s="133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265"/>
    </row>
    <row r="43" spans="2:22" ht="18.75" x14ac:dyDescent="0.3">
      <c r="B43" s="2" t="s">
        <v>140</v>
      </c>
      <c r="C43" s="270" t="s">
        <v>64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265"/>
    </row>
    <row r="44" spans="2:22" ht="18.75" x14ac:dyDescent="0.3">
      <c r="B44" t="s">
        <v>125</v>
      </c>
      <c r="C44" s="133" t="s">
        <v>104</v>
      </c>
      <c r="D44" t="s">
        <v>254</v>
      </c>
      <c r="E44" s="15">
        <v>6240</v>
      </c>
      <c r="F44" s="29">
        <v>15</v>
      </c>
      <c r="G44" s="265"/>
      <c r="H44" s="15"/>
      <c r="I44" s="20"/>
      <c r="J44" s="20"/>
      <c r="K44" s="20">
        <f t="shared" ref="K44" si="25">E44-I44</f>
        <v>6240</v>
      </c>
      <c r="L44" s="20">
        <v>0</v>
      </c>
      <c r="M44" s="15">
        <v>633.91</v>
      </c>
      <c r="N44" s="20">
        <v>778.31</v>
      </c>
      <c r="O44" s="15">
        <v>0</v>
      </c>
      <c r="P44" s="287">
        <f t="shared" ref="P44" si="26">E44*0.115</f>
        <v>717.6</v>
      </c>
      <c r="Q44" s="15">
        <f t="shared" ref="Q44" si="27">SUM(N44:P44)+G44</f>
        <v>1495.9099999999999</v>
      </c>
      <c r="R44" s="88">
        <f t="shared" ref="R44" si="28">K44-Q44</f>
        <v>4744.09</v>
      </c>
      <c r="S44" s="263">
        <f>+'[1]IMSS INCREMENTO 4%'!$AR$18/2</f>
        <v>364.98521512328773</v>
      </c>
      <c r="T44" s="263">
        <f>+E44*17.5%+187.2</f>
        <v>1279.2</v>
      </c>
      <c r="U44" s="288">
        <f t="shared" ref="U44" si="29">+E44*2%</f>
        <v>124.8</v>
      </c>
      <c r="V44" s="35">
        <f t="shared" ref="V44" si="30">SUM(S44:U44)</f>
        <v>1768.9852151232878</v>
      </c>
    </row>
    <row r="45" spans="2:22" ht="18.75" x14ac:dyDescent="0.3">
      <c r="B45" t="s">
        <v>152</v>
      </c>
      <c r="C45" s="133" t="s">
        <v>92</v>
      </c>
      <c r="D45" t="s">
        <v>244</v>
      </c>
      <c r="E45" s="15">
        <v>5564</v>
      </c>
      <c r="F45" s="29">
        <v>15</v>
      </c>
      <c r="G45" s="15"/>
      <c r="H45" s="15"/>
      <c r="I45" s="77"/>
      <c r="J45" s="15"/>
      <c r="K45" s="15">
        <f>E45-I45</f>
        <v>5564</v>
      </c>
      <c r="L45" s="15">
        <v>0</v>
      </c>
      <c r="M45" s="15">
        <v>633.91</v>
      </c>
      <c r="N45" s="15">
        <f t="shared" ref="N45" si="31">M45-L45</f>
        <v>633.91</v>
      </c>
      <c r="O45" s="15">
        <v>0</v>
      </c>
      <c r="P45" s="287">
        <f t="shared" ref="P45" si="32">E45*0.115</f>
        <v>639.86</v>
      </c>
      <c r="Q45" s="15">
        <f>SUM(N45:P45)+G45</f>
        <v>1273.77</v>
      </c>
      <c r="R45" s="88">
        <f>K45-Q45</f>
        <v>4290.2299999999996</v>
      </c>
      <c r="S45" s="263">
        <f>+'[1]IMSS INCREMENTO 4%'!$AR$28/2</f>
        <v>346.01175335159814</v>
      </c>
      <c r="T45" s="263">
        <f>+E45*17.5%+166.92</f>
        <v>1140.6199999999999</v>
      </c>
      <c r="U45" s="288">
        <f t="shared" ref="U45" si="33">+E45*2%</f>
        <v>111.28</v>
      </c>
      <c r="V45" s="35">
        <f t="shared" ref="V45" si="34">SUM(S45:U45)</f>
        <v>1597.911753351598</v>
      </c>
    </row>
    <row r="46" spans="2:22" ht="18.75" x14ac:dyDescent="0.3">
      <c r="B46" t="s">
        <v>220</v>
      </c>
      <c r="C46" s="133" t="s">
        <v>221</v>
      </c>
      <c r="D46" t="s">
        <v>222</v>
      </c>
      <c r="E46" s="15">
        <v>5350</v>
      </c>
      <c r="F46" s="29">
        <v>15</v>
      </c>
      <c r="G46" s="15"/>
      <c r="H46" s="15"/>
      <c r="I46" s="15"/>
      <c r="J46" s="15"/>
      <c r="K46" s="15">
        <f>E46-I46</f>
        <v>5350</v>
      </c>
      <c r="L46" s="15">
        <v>0</v>
      </c>
      <c r="M46" s="15">
        <v>588.20000000000005</v>
      </c>
      <c r="N46" s="15">
        <v>588.20000000000005</v>
      </c>
      <c r="O46" s="15">
        <v>0</v>
      </c>
      <c r="P46" s="15"/>
      <c r="Q46" s="15">
        <f>SUM(N46:P46)+G46</f>
        <v>588.20000000000005</v>
      </c>
      <c r="R46" s="88">
        <f>K46-Q46</f>
        <v>4761.8</v>
      </c>
      <c r="S46" s="263">
        <f>+'[1]IMSS INCREMENTO 4%'!$AR$29/2</f>
        <v>340.00536160730593</v>
      </c>
      <c r="T46" s="263"/>
      <c r="U46" s="263"/>
      <c r="V46" s="35">
        <f t="shared" ref="V46" si="35">SUM(S46:U46)</f>
        <v>340.00536160730593</v>
      </c>
    </row>
    <row r="47" spans="2:22" ht="18.75" x14ac:dyDescent="0.3">
      <c r="B47" s="2" t="s">
        <v>26</v>
      </c>
      <c r="C47" s="270"/>
      <c r="D47" s="30"/>
      <c r="E47" s="34">
        <f>E44+E45+E46</f>
        <v>17154</v>
      </c>
      <c r="F47" s="34"/>
      <c r="G47" s="34">
        <f t="shared" ref="G47:O47" si="36">G44+G45+G46</f>
        <v>0</v>
      </c>
      <c r="H47" s="34">
        <f t="shared" si="36"/>
        <v>0</v>
      </c>
      <c r="I47" s="34">
        <f>I44+I45+I46</f>
        <v>0</v>
      </c>
      <c r="J47" s="34">
        <f t="shared" si="36"/>
        <v>0</v>
      </c>
      <c r="K47" s="34">
        <f>K44+K45+K46</f>
        <v>17154</v>
      </c>
      <c r="L47" s="34">
        <f t="shared" si="36"/>
        <v>0</v>
      </c>
      <c r="M47" s="34">
        <f t="shared" si="36"/>
        <v>1856.02</v>
      </c>
      <c r="N47" s="34">
        <f>N44+N45+N46</f>
        <v>2000.4199999999998</v>
      </c>
      <c r="O47" s="34">
        <f t="shared" si="36"/>
        <v>0</v>
      </c>
      <c r="P47" s="34">
        <f t="shared" ref="P47:V47" si="37">P44+P45+P46</f>
        <v>1357.46</v>
      </c>
      <c r="Q47" s="34">
        <f t="shared" si="37"/>
        <v>3357.88</v>
      </c>
      <c r="R47" s="264">
        <f t="shared" si="37"/>
        <v>13796.119999999999</v>
      </c>
      <c r="S47" s="34">
        <f t="shared" si="37"/>
        <v>1051.0023300821917</v>
      </c>
      <c r="T47" s="34">
        <f t="shared" si="37"/>
        <v>2419.8199999999997</v>
      </c>
      <c r="U47" s="34">
        <f t="shared" si="37"/>
        <v>236.07999999999998</v>
      </c>
      <c r="V47" s="34">
        <f t="shared" si="37"/>
        <v>3706.9023300821918</v>
      </c>
    </row>
    <row r="48" spans="2:22" ht="18.75" hidden="1" x14ac:dyDescent="0.3">
      <c r="B48" s="2"/>
      <c r="C48" s="133"/>
      <c r="E48" s="15"/>
      <c r="F48" s="15"/>
      <c r="G48" s="15"/>
      <c r="H48" s="15"/>
      <c r="I48" s="15"/>
      <c r="J48" s="15"/>
      <c r="K48" s="16"/>
      <c r="L48" s="16"/>
      <c r="M48" s="16"/>
      <c r="N48" s="16"/>
      <c r="O48" s="16"/>
      <c r="P48" s="16"/>
      <c r="Q48" s="16"/>
      <c r="R48" s="267"/>
      <c r="S48" s="8"/>
      <c r="T48" s="8"/>
      <c r="U48" s="8"/>
      <c r="V48" s="8"/>
    </row>
    <row r="49" spans="2:22" ht="18.75" x14ac:dyDescent="0.3">
      <c r="B49" s="2" t="s">
        <v>161</v>
      </c>
      <c r="C49" s="270" t="s">
        <v>162</v>
      </c>
      <c r="E49" s="15"/>
      <c r="F49" s="15"/>
      <c r="G49" s="15"/>
      <c r="H49" s="15"/>
      <c r="I49" s="15"/>
      <c r="J49" s="15"/>
      <c r="K49" s="16"/>
      <c r="L49" s="16"/>
      <c r="M49" s="16"/>
      <c r="N49" s="16"/>
      <c r="O49" s="16"/>
      <c r="P49" s="16"/>
      <c r="Q49" s="16"/>
      <c r="R49" s="267"/>
      <c r="S49" s="8"/>
      <c r="T49" s="8"/>
      <c r="U49" s="8"/>
      <c r="V49" s="8"/>
    </row>
    <row r="50" spans="2:22" ht="18.75" x14ac:dyDescent="0.3">
      <c r="B50" t="s">
        <v>163</v>
      </c>
      <c r="C50" s="269" t="s">
        <v>42</v>
      </c>
      <c r="D50" t="s">
        <v>230</v>
      </c>
      <c r="E50" s="15">
        <v>10400</v>
      </c>
      <c r="F50" s="29">
        <v>15</v>
      </c>
      <c r="G50" s="15"/>
      <c r="H50" s="15"/>
      <c r="I50" s="15"/>
      <c r="J50" s="15"/>
      <c r="K50" s="15">
        <f>E50-I50</f>
        <v>10400</v>
      </c>
      <c r="L50" s="15">
        <v>0</v>
      </c>
      <c r="M50" s="15">
        <v>1667.21</v>
      </c>
      <c r="N50" s="15">
        <f>M50-L50</f>
        <v>1667.21</v>
      </c>
      <c r="O50" s="15">
        <v>0</v>
      </c>
      <c r="P50" s="287">
        <f>E50*0.115</f>
        <v>1196</v>
      </c>
      <c r="Q50" s="15">
        <f>SUM(N50:P50)+G50</f>
        <v>2863.21</v>
      </c>
      <c r="R50" s="88">
        <f>K50-Q50</f>
        <v>7536.79</v>
      </c>
      <c r="S50" s="263">
        <f>+'[1]IMSS INCREMENTO 4%'!$AR$30/2</f>
        <v>481.74497987214613</v>
      </c>
      <c r="T50" s="263">
        <f>+E50*17.5%+312</f>
        <v>2132</v>
      </c>
      <c r="U50" s="288">
        <f t="shared" ref="U50" si="38">+E50*2%</f>
        <v>208</v>
      </c>
      <c r="V50" s="35">
        <f t="shared" ref="V50" si="39">SUM(S50:U50)</f>
        <v>2821.7449798721464</v>
      </c>
    </row>
    <row r="51" spans="2:22" ht="18.75" x14ac:dyDescent="0.3">
      <c r="B51" s="2" t="s">
        <v>26</v>
      </c>
      <c r="E51" s="34">
        <f>E50</f>
        <v>10400</v>
      </c>
      <c r="F51" s="34"/>
      <c r="G51" s="34">
        <f>+G50</f>
        <v>0</v>
      </c>
      <c r="H51" s="34"/>
      <c r="I51" s="34">
        <f>I50</f>
        <v>0</v>
      </c>
      <c r="J51" s="34">
        <f>J50</f>
        <v>0</v>
      </c>
      <c r="K51" s="34">
        <f>K50</f>
        <v>10400</v>
      </c>
      <c r="L51" s="34">
        <f t="shared" ref="L51:V51" si="40">L50</f>
        <v>0</v>
      </c>
      <c r="M51" s="34">
        <f t="shared" si="40"/>
        <v>1667.21</v>
      </c>
      <c r="N51" s="34">
        <f t="shared" si="40"/>
        <v>1667.21</v>
      </c>
      <c r="O51" s="34">
        <f t="shared" si="40"/>
        <v>0</v>
      </c>
      <c r="P51" s="34">
        <f>P50</f>
        <v>1196</v>
      </c>
      <c r="Q51" s="34">
        <f t="shared" si="40"/>
        <v>2863.21</v>
      </c>
      <c r="R51" s="264">
        <f>R50</f>
        <v>7536.79</v>
      </c>
      <c r="S51" s="34">
        <f t="shared" si="40"/>
        <v>481.74497987214613</v>
      </c>
      <c r="T51" s="34">
        <f t="shared" si="40"/>
        <v>2132</v>
      </c>
      <c r="U51" s="34">
        <f t="shared" si="40"/>
        <v>208</v>
      </c>
      <c r="V51" s="34">
        <f t="shared" si="40"/>
        <v>2821.7449798721464</v>
      </c>
    </row>
    <row r="52" spans="2:22" ht="12" customHeight="1" x14ac:dyDescent="0.3">
      <c r="B52" s="2"/>
      <c r="E52" s="15"/>
      <c r="F52" s="15"/>
      <c r="G52" s="15"/>
      <c r="H52" s="15"/>
      <c r="I52" s="15"/>
      <c r="J52" s="15"/>
      <c r="K52" s="16"/>
      <c r="L52" s="16"/>
      <c r="M52" s="16"/>
      <c r="N52" s="16"/>
      <c r="O52" s="16"/>
      <c r="P52" s="16"/>
      <c r="Q52" s="16"/>
      <c r="R52" s="267"/>
      <c r="S52" s="8"/>
      <c r="T52" s="8"/>
      <c r="U52" s="8"/>
      <c r="V52" s="8"/>
    </row>
    <row r="53" spans="2:22" ht="18.75" hidden="1" x14ac:dyDescent="0.3">
      <c r="R53" s="268"/>
    </row>
    <row r="54" spans="2:22" ht="18.75" x14ac:dyDescent="0.3">
      <c r="C54" s="53" t="s">
        <v>105</v>
      </c>
      <c r="E54" s="17">
        <f>E9+E20+E27+E41+E47+E51</f>
        <v>176937.15</v>
      </c>
      <c r="F54" s="17"/>
      <c r="G54" s="17">
        <f>G9+G20+G27+G41+G47+G51</f>
        <v>17954.62</v>
      </c>
      <c r="H54" s="17"/>
      <c r="I54" s="17">
        <f t="shared" ref="I54:V54" si="41">I9+I20+I27+I41+I47+I51</f>
        <v>7.92</v>
      </c>
      <c r="J54" s="17">
        <f t="shared" si="41"/>
        <v>0</v>
      </c>
      <c r="K54" s="17">
        <f t="shared" si="41"/>
        <v>176929.22999999998</v>
      </c>
      <c r="L54" s="17">
        <f t="shared" si="41"/>
        <v>274.08999999999997</v>
      </c>
      <c r="M54" s="17">
        <f t="shared" si="41"/>
        <v>22102.894999999997</v>
      </c>
      <c r="N54" s="17">
        <f t="shared" si="41"/>
        <v>21973.204999999994</v>
      </c>
      <c r="O54" s="17">
        <f t="shared" si="41"/>
        <v>0</v>
      </c>
      <c r="P54" s="17">
        <f t="shared" si="41"/>
        <v>17886.76225</v>
      </c>
      <c r="Q54" s="17">
        <f t="shared" si="41"/>
        <v>57814.587249999997</v>
      </c>
      <c r="R54" s="54">
        <f t="shared" si="41"/>
        <v>119114.64274999998</v>
      </c>
      <c r="S54" s="17">
        <f t="shared" si="41"/>
        <v>10471.660841186047</v>
      </c>
      <c r="T54" s="17">
        <f t="shared" si="41"/>
        <v>31885.111249999998</v>
      </c>
      <c r="U54" s="17">
        <f t="shared" si="41"/>
        <v>3110.7429999999995</v>
      </c>
      <c r="V54" s="55">
        <f t="shared" si="41"/>
        <v>45467.51509118604</v>
      </c>
    </row>
    <row r="63" spans="2:22" ht="16.5" thickBot="1" x14ac:dyDescent="0.3">
      <c r="E63" s="375"/>
      <c r="F63" s="375"/>
      <c r="G63" s="299"/>
      <c r="H63" s="299"/>
      <c r="P63" s="376"/>
      <c r="Q63" s="376"/>
    </row>
    <row r="64" spans="2:22" ht="15" x14ac:dyDescent="0.25">
      <c r="E64" s="377" t="s">
        <v>177</v>
      </c>
      <c r="F64" s="377"/>
      <c r="G64" s="300"/>
      <c r="H64" s="300"/>
      <c r="P64" s="26"/>
      <c r="Q64" s="26"/>
      <c r="R64" s="378" t="s">
        <v>157</v>
      </c>
      <c r="S64" s="378"/>
      <c r="T64" s="299"/>
    </row>
    <row r="68" spans="3:3" x14ac:dyDescent="0.25">
      <c r="C68" t="s">
        <v>174</v>
      </c>
    </row>
  </sheetData>
  <mergeCells count="5">
    <mergeCell ref="B4:V4"/>
    <mergeCell ref="E63:F63"/>
    <mergeCell ref="P63:Q63"/>
    <mergeCell ref="E64:F64"/>
    <mergeCell ref="R64:S64"/>
  </mergeCells>
  <pageMargins left="0.51181102362204722" right="0.51181102362204722" top="0.15748031496062992" bottom="0.35433070866141736" header="0.31496062992125984" footer="0.31496062992125984"/>
  <pageSetup scale="42" fitToHeight="0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W68"/>
  <sheetViews>
    <sheetView topLeftCell="B38" zoomScale="85" zoomScaleNormal="85" workbookViewId="0">
      <selection activeCell="R46" sqref="R46"/>
    </sheetView>
  </sheetViews>
  <sheetFormatPr baseColWidth="10" defaultRowHeight="15.75" x14ac:dyDescent="0.25"/>
  <cols>
    <col min="1" max="1" width="0.7109375" style="302" customWidth="1"/>
    <col min="2" max="2" width="17.140625" style="302" customWidth="1"/>
    <col min="3" max="3" width="36.5703125" style="302" customWidth="1"/>
    <col min="4" max="4" width="28" style="302" customWidth="1"/>
    <col min="5" max="5" width="18.42578125" style="302" customWidth="1"/>
    <col min="6" max="6" width="12.7109375" style="302" customWidth="1"/>
    <col min="7" max="7" width="12.28515625" style="302" customWidth="1"/>
    <col min="8" max="8" width="14.140625" style="302" hidden="1" customWidth="1"/>
    <col min="9" max="9" width="13.85546875" style="302" customWidth="1"/>
    <col min="10" max="10" width="11.42578125" style="302" hidden="1" customWidth="1"/>
    <col min="11" max="11" width="15.85546875" style="302" customWidth="1"/>
    <col min="12" max="12" width="9.42578125" style="302" customWidth="1"/>
    <col min="13" max="13" width="14.42578125" style="302" hidden="1" customWidth="1"/>
    <col min="14" max="14" width="14.42578125" style="302" customWidth="1"/>
    <col min="15" max="15" width="11.42578125" style="302" hidden="1" customWidth="1"/>
    <col min="16" max="16" width="12.85546875" style="302" customWidth="1"/>
    <col min="17" max="17" width="16.5703125" style="302" customWidth="1"/>
    <col min="18" max="18" width="18.28515625" style="338" customWidth="1"/>
    <col min="19" max="20" width="16.140625" style="302" customWidth="1"/>
    <col min="21" max="21" width="14.85546875" style="302" customWidth="1"/>
    <col min="22" max="22" width="17" style="302" customWidth="1"/>
    <col min="23" max="16384" width="11.42578125" style="302"/>
  </cols>
  <sheetData>
    <row r="3" spans="2:23" x14ac:dyDescent="0.25"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4"/>
    </row>
    <row r="4" spans="2:23" ht="16.5" customHeight="1" x14ac:dyDescent="0.25">
      <c r="B4" s="383" t="s">
        <v>256</v>
      </c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</row>
    <row r="5" spans="2:23" s="320" customFormat="1" ht="56.25" x14ac:dyDescent="0.25">
      <c r="B5" s="305" t="s">
        <v>9</v>
      </c>
      <c r="C5" s="306" t="s">
        <v>10</v>
      </c>
      <c r="D5" s="307" t="s">
        <v>0</v>
      </c>
      <c r="E5" s="308" t="s">
        <v>11</v>
      </c>
      <c r="F5" s="309" t="s">
        <v>150</v>
      </c>
      <c r="G5" s="310" t="s">
        <v>180</v>
      </c>
      <c r="H5" s="311" t="s">
        <v>182</v>
      </c>
      <c r="I5" s="312" t="s">
        <v>169</v>
      </c>
      <c r="J5" s="307" t="s">
        <v>170</v>
      </c>
      <c r="K5" s="307" t="s">
        <v>12</v>
      </c>
      <c r="L5" s="313" t="s">
        <v>107</v>
      </c>
      <c r="M5" s="309" t="s">
        <v>143</v>
      </c>
      <c r="N5" s="309" t="s">
        <v>13</v>
      </c>
      <c r="O5" s="314" t="s">
        <v>171</v>
      </c>
      <c r="P5" s="315" t="s">
        <v>16</v>
      </c>
      <c r="Q5" s="316" t="s">
        <v>17</v>
      </c>
      <c r="R5" s="317" t="s">
        <v>72</v>
      </c>
      <c r="S5" s="313" t="s">
        <v>8</v>
      </c>
      <c r="T5" s="313" t="s">
        <v>218</v>
      </c>
      <c r="U5" s="318" t="s">
        <v>18</v>
      </c>
      <c r="V5" s="318" t="s">
        <v>73</v>
      </c>
      <c r="W5" s="319"/>
    </row>
    <row r="6" spans="2:23" x14ac:dyDescent="0.25">
      <c r="B6" s="321" t="s">
        <v>19</v>
      </c>
      <c r="C6" s="322" t="s">
        <v>20</v>
      </c>
      <c r="D6" s="322"/>
      <c r="E6" s="323"/>
      <c r="F6" s="303"/>
      <c r="G6" s="324"/>
      <c r="H6" s="303"/>
      <c r="I6" s="323"/>
      <c r="J6" s="323"/>
      <c r="K6" s="323"/>
      <c r="L6" s="303"/>
      <c r="M6" s="303"/>
      <c r="N6" s="303"/>
      <c r="O6" s="323"/>
      <c r="P6" s="303"/>
      <c r="Q6" s="323"/>
      <c r="R6" s="304"/>
    </row>
    <row r="7" spans="2:23" ht="18.75" x14ac:dyDescent="0.3">
      <c r="B7" s="302" t="s">
        <v>21</v>
      </c>
      <c r="C7" s="325" t="s">
        <v>22</v>
      </c>
      <c r="D7" s="302" t="s">
        <v>25</v>
      </c>
      <c r="E7" s="303">
        <v>17633.150000000001</v>
      </c>
      <c r="F7" s="326">
        <v>15</v>
      </c>
      <c r="G7" s="327">
        <v>2700</v>
      </c>
      <c r="H7" s="303"/>
      <c r="I7" s="303"/>
      <c r="J7" s="303"/>
      <c r="K7" s="303">
        <f>E7-I7</f>
        <v>17633.150000000001</v>
      </c>
      <c r="L7" s="303">
        <v>0</v>
      </c>
      <c r="M7" s="303">
        <v>3450.395</v>
      </c>
      <c r="N7" s="303">
        <f>M7-L7</f>
        <v>3450.395</v>
      </c>
      <c r="O7" s="303">
        <v>0</v>
      </c>
      <c r="P7" s="328">
        <f>E7*0.115-0.01</f>
        <v>2027.8022500000002</v>
      </c>
      <c r="Q7" s="303">
        <f>SUM(N7:P7)+G7</f>
        <v>8178.1972500000002</v>
      </c>
      <c r="R7" s="358">
        <f>K7-Q7</f>
        <v>9454.9527500000004</v>
      </c>
      <c r="S7" s="330">
        <f>+'[1]IMSS INCREMENTO 4%'!$AR$2/2</f>
        <v>684.75956133216448</v>
      </c>
      <c r="T7" s="330">
        <f>+E7*17.5%+528.99</f>
        <v>3614.7912500000002</v>
      </c>
      <c r="U7" s="331">
        <f>+E7*2%</f>
        <v>352.66300000000001</v>
      </c>
      <c r="V7" s="332">
        <f>SUM(S7:U7)</f>
        <v>4652.2138113321653</v>
      </c>
    </row>
    <row r="8" spans="2:23" ht="18.75" x14ac:dyDescent="0.3">
      <c r="B8" s="302" t="s">
        <v>23</v>
      </c>
      <c r="C8" s="325" t="s">
        <v>24</v>
      </c>
      <c r="D8" s="302" t="s">
        <v>3</v>
      </c>
      <c r="E8" s="303">
        <v>5044</v>
      </c>
      <c r="F8" s="326">
        <v>15</v>
      </c>
      <c r="G8" s="327">
        <v>809</v>
      </c>
      <c r="H8" s="303"/>
      <c r="I8" s="303"/>
      <c r="J8" s="303"/>
      <c r="K8" s="303">
        <f>E8-I8</f>
        <v>5044</v>
      </c>
      <c r="L8" s="303">
        <v>0</v>
      </c>
      <c r="M8" s="303">
        <v>526.46</v>
      </c>
      <c r="N8" s="303">
        <f>M8-L8</f>
        <v>526.46</v>
      </c>
      <c r="O8" s="303">
        <v>0</v>
      </c>
      <c r="P8" s="328">
        <f>E8*0.115</f>
        <v>580.06000000000006</v>
      </c>
      <c r="Q8" s="303">
        <f>SUM(N8:P8)+G8</f>
        <v>1915.52</v>
      </c>
      <c r="R8" s="358">
        <f>K8-Q8</f>
        <v>3128.48</v>
      </c>
      <c r="S8" s="330">
        <f>+'[1]IMSS INCREMENTO 4%'!$AR$3/2</f>
        <v>331.41678275799086</v>
      </c>
      <c r="T8" s="330">
        <f>+E8*17.5%+151.32</f>
        <v>1034.02</v>
      </c>
      <c r="U8" s="331">
        <f>+E8*2%</f>
        <v>100.88</v>
      </c>
      <c r="V8" s="332">
        <f>SUM(S8:U8)</f>
        <v>1466.3167827579909</v>
      </c>
    </row>
    <row r="9" spans="2:23" ht="18.75" x14ac:dyDescent="0.3">
      <c r="B9" s="333" t="s">
        <v>26</v>
      </c>
      <c r="C9" s="334"/>
      <c r="D9" s="335"/>
      <c r="E9" s="336">
        <f>SUM(E7:E8)</f>
        <v>22677.15</v>
      </c>
      <c r="F9" s="336"/>
      <c r="G9" s="336">
        <f>+G8+G7</f>
        <v>3509</v>
      </c>
      <c r="H9" s="336"/>
      <c r="I9" s="336">
        <f t="shared" ref="I9:V9" si="0">SUM(I7:I8)</f>
        <v>0</v>
      </c>
      <c r="J9" s="336">
        <f t="shared" si="0"/>
        <v>0</v>
      </c>
      <c r="K9" s="336">
        <f t="shared" si="0"/>
        <v>22677.15</v>
      </c>
      <c r="L9" s="336">
        <f t="shared" si="0"/>
        <v>0</v>
      </c>
      <c r="M9" s="336">
        <f t="shared" si="0"/>
        <v>3976.855</v>
      </c>
      <c r="N9" s="336">
        <f t="shared" si="0"/>
        <v>3976.855</v>
      </c>
      <c r="O9" s="336">
        <f t="shared" si="0"/>
        <v>0</v>
      </c>
      <c r="P9" s="336">
        <f>SUM(P7:P8)</f>
        <v>2607.8622500000001</v>
      </c>
      <c r="Q9" s="336">
        <f t="shared" si="0"/>
        <v>10093.71725</v>
      </c>
      <c r="R9" s="337">
        <f>SUM(R7:R8)</f>
        <v>12583.43275</v>
      </c>
      <c r="S9" s="336">
        <f t="shared" si="0"/>
        <v>1016.1763440901553</v>
      </c>
      <c r="T9" s="336">
        <f t="shared" si="0"/>
        <v>4648.8112500000007</v>
      </c>
      <c r="U9" s="336">
        <f t="shared" si="0"/>
        <v>453.54300000000001</v>
      </c>
      <c r="V9" s="336">
        <f t="shared" si="0"/>
        <v>6118.5305940901562</v>
      </c>
    </row>
    <row r="10" spans="2:23" ht="10.5" hidden="1" customHeight="1" x14ac:dyDescent="0.3">
      <c r="C10" s="338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39"/>
    </row>
    <row r="11" spans="2:23" ht="18.75" x14ac:dyDescent="0.3">
      <c r="B11" s="340" t="s">
        <v>27</v>
      </c>
      <c r="C11" s="334" t="s">
        <v>28</v>
      </c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39"/>
    </row>
    <row r="12" spans="2:23" ht="18.75" x14ac:dyDescent="0.3">
      <c r="B12" s="302" t="s">
        <v>32</v>
      </c>
      <c r="C12" s="325" t="s">
        <v>37</v>
      </c>
      <c r="D12" s="302" t="s">
        <v>230</v>
      </c>
      <c r="E12" s="303">
        <v>10400</v>
      </c>
      <c r="F12" s="326">
        <v>15</v>
      </c>
      <c r="G12" s="327">
        <v>3334</v>
      </c>
      <c r="H12" s="303"/>
      <c r="I12" s="303"/>
      <c r="J12" s="303"/>
      <c r="K12" s="303">
        <f t="shared" ref="K12:K18" si="1">E12-I12</f>
        <v>10400</v>
      </c>
      <c r="L12" s="303">
        <v>0</v>
      </c>
      <c r="M12" s="303">
        <v>1667.21</v>
      </c>
      <c r="N12" s="303">
        <f t="shared" ref="N12:N17" si="2">M12-L12</f>
        <v>1667.21</v>
      </c>
      <c r="O12" s="303">
        <v>0</v>
      </c>
      <c r="P12" s="328">
        <f t="shared" ref="P12:P17" si="3">E12*0.115</f>
        <v>1196</v>
      </c>
      <c r="Q12" s="303">
        <f t="shared" ref="Q12:Q19" si="4">SUM(N12:P12)+G12</f>
        <v>6197.21</v>
      </c>
      <c r="R12" s="358">
        <f t="shared" ref="R12:R19" si="5">K12-Q12</f>
        <v>4202.79</v>
      </c>
      <c r="S12" s="330">
        <f>+'[1]IMSS INCREMENTO 4%'!$AR$4/2</f>
        <v>481.74497987214613</v>
      </c>
      <c r="T12" s="330">
        <f>+E12*17.5%+312</f>
        <v>2132</v>
      </c>
      <c r="U12" s="331">
        <f>+E12*2%</f>
        <v>208</v>
      </c>
      <c r="V12" s="332">
        <f t="shared" ref="V12:V19" si="6">SUM(S12:U12)</f>
        <v>2821.7449798721464</v>
      </c>
    </row>
    <row r="13" spans="2:23" ht="18.75" x14ac:dyDescent="0.3">
      <c r="B13" s="302" t="s">
        <v>33</v>
      </c>
      <c r="C13" s="325" t="s">
        <v>38</v>
      </c>
      <c r="D13" s="302" t="s">
        <v>232</v>
      </c>
      <c r="E13" s="303">
        <v>5564</v>
      </c>
      <c r="F13" s="326">
        <v>15</v>
      </c>
      <c r="G13" s="303"/>
      <c r="H13" s="303"/>
      <c r="I13" s="341"/>
      <c r="J13" s="342"/>
      <c r="K13" s="303">
        <f>E13-I13</f>
        <v>5564</v>
      </c>
      <c r="L13" s="303">
        <v>0</v>
      </c>
      <c r="M13" s="303">
        <v>633.91</v>
      </c>
      <c r="N13" s="303">
        <f t="shared" si="2"/>
        <v>633.91</v>
      </c>
      <c r="O13" s="303">
        <v>0</v>
      </c>
      <c r="P13" s="328">
        <f t="shared" si="3"/>
        <v>639.86</v>
      </c>
      <c r="Q13" s="303">
        <f t="shared" si="4"/>
        <v>1273.77</v>
      </c>
      <c r="R13" s="358">
        <f t="shared" si="5"/>
        <v>4290.2299999999996</v>
      </c>
      <c r="S13" s="330">
        <f>+'[1]IMSS INCREMENTO 4%'!$AR$5/2</f>
        <v>346.01175335159814</v>
      </c>
      <c r="T13" s="330">
        <f>+E13*17.5%+166.92</f>
        <v>1140.6199999999999</v>
      </c>
      <c r="U13" s="331">
        <f>+E13*2%</f>
        <v>111.28</v>
      </c>
      <c r="V13" s="332">
        <f t="shared" si="6"/>
        <v>1597.911753351598</v>
      </c>
    </row>
    <row r="14" spans="2:23" ht="18.75" x14ac:dyDescent="0.3">
      <c r="B14" s="302" t="s">
        <v>34</v>
      </c>
      <c r="C14" s="325" t="s">
        <v>178</v>
      </c>
      <c r="D14" s="302" t="s">
        <v>231</v>
      </c>
      <c r="E14" s="303">
        <v>5564</v>
      </c>
      <c r="F14" s="326">
        <v>15</v>
      </c>
      <c r="G14" s="303"/>
      <c r="H14" s="343"/>
      <c r="I14" s="341"/>
      <c r="J14" s="342"/>
      <c r="K14" s="303">
        <f>+E14+H14-I14</f>
        <v>5564</v>
      </c>
      <c r="L14" s="303">
        <v>0</v>
      </c>
      <c r="M14" s="303">
        <v>633.91</v>
      </c>
      <c r="N14" s="303">
        <f t="shared" si="2"/>
        <v>633.91</v>
      </c>
      <c r="O14" s="303">
        <v>0</v>
      </c>
      <c r="P14" s="328">
        <f t="shared" si="3"/>
        <v>639.86</v>
      </c>
      <c r="Q14" s="303">
        <f t="shared" si="4"/>
        <v>1273.77</v>
      </c>
      <c r="R14" s="358">
        <f t="shared" si="5"/>
        <v>4290.2299999999996</v>
      </c>
      <c r="S14" s="330">
        <f>+'[1]IMSS INCREMENTO 4%'!$AR$6/2</f>
        <v>346.01175335159814</v>
      </c>
      <c r="T14" s="330">
        <f>+E14*17.5%+166.92</f>
        <v>1140.6199999999999</v>
      </c>
      <c r="U14" s="331">
        <f t="shared" ref="U14:U19" si="7">+E14*2%</f>
        <v>111.28</v>
      </c>
      <c r="V14" s="332">
        <f t="shared" si="6"/>
        <v>1597.911753351598</v>
      </c>
    </row>
    <row r="15" spans="2:23" ht="18.75" x14ac:dyDescent="0.3">
      <c r="B15" s="302" t="s">
        <v>35</v>
      </c>
      <c r="C15" s="338" t="s">
        <v>111</v>
      </c>
      <c r="D15" s="302" t="s">
        <v>77</v>
      </c>
      <c r="E15" s="303">
        <v>6240</v>
      </c>
      <c r="F15" s="326">
        <v>15</v>
      </c>
      <c r="G15" s="303"/>
      <c r="H15" s="303"/>
      <c r="I15" s="303"/>
      <c r="J15" s="303"/>
      <c r="K15" s="303">
        <f t="shared" si="1"/>
        <v>6240</v>
      </c>
      <c r="L15" s="303">
        <v>0</v>
      </c>
      <c r="M15" s="303">
        <v>778.31</v>
      </c>
      <c r="N15" s="303">
        <f t="shared" si="2"/>
        <v>778.31</v>
      </c>
      <c r="O15" s="303">
        <v>0</v>
      </c>
      <c r="P15" s="328">
        <f>E15*0.115</f>
        <v>717.6</v>
      </c>
      <c r="Q15" s="303">
        <f t="shared" si="4"/>
        <v>1495.9099999999999</v>
      </c>
      <c r="R15" s="358">
        <f t="shared" si="5"/>
        <v>4744.09</v>
      </c>
      <c r="S15" s="330">
        <f>+'[1]IMSS INCREMENTO 4%'!$AR$7/2</f>
        <v>364.98521512328773</v>
      </c>
      <c r="T15" s="330">
        <f>+E15*17.5%+187.2</f>
        <v>1279.2</v>
      </c>
      <c r="U15" s="331">
        <f t="shared" si="7"/>
        <v>124.8</v>
      </c>
      <c r="V15" s="332">
        <f t="shared" si="6"/>
        <v>1768.9852151232878</v>
      </c>
    </row>
    <row r="16" spans="2:23" ht="18.75" x14ac:dyDescent="0.3">
      <c r="B16" s="302" t="s">
        <v>36</v>
      </c>
      <c r="C16" s="338" t="s">
        <v>86</v>
      </c>
      <c r="D16" s="302" t="s">
        <v>233</v>
      </c>
      <c r="E16" s="303">
        <v>4680</v>
      </c>
      <c r="F16" s="326">
        <v>15</v>
      </c>
      <c r="G16" s="327">
        <v>1000</v>
      </c>
      <c r="H16" s="303"/>
      <c r="I16" s="341"/>
      <c r="J16" s="303"/>
      <c r="K16" s="303">
        <f t="shared" si="1"/>
        <v>4680</v>
      </c>
      <c r="L16" s="303">
        <v>0</v>
      </c>
      <c r="M16" s="303">
        <v>461.23</v>
      </c>
      <c r="N16" s="303">
        <f t="shared" si="2"/>
        <v>461.23</v>
      </c>
      <c r="O16" s="303">
        <v>0</v>
      </c>
      <c r="P16" s="328">
        <f t="shared" si="3"/>
        <v>538.20000000000005</v>
      </c>
      <c r="Q16" s="303">
        <f t="shared" si="4"/>
        <v>1999.43</v>
      </c>
      <c r="R16" s="358">
        <f t="shared" si="5"/>
        <v>2680.5699999999997</v>
      </c>
      <c r="S16" s="330">
        <f>+'[1]IMSS INCREMENTO 4%'!$AR$8/2</f>
        <v>321.20030334246576</v>
      </c>
      <c r="T16" s="330">
        <f>+E16*17.5%+140.4</f>
        <v>959.4</v>
      </c>
      <c r="U16" s="331">
        <f t="shared" si="7"/>
        <v>93.600000000000009</v>
      </c>
      <c r="V16" s="332">
        <f t="shared" si="6"/>
        <v>1374.2003033424658</v>
      </c>
    </row>
    <row r="17" spans="2:22" ht="18.75" x14ac:dyDescent="0.3">
      <c r="B17" s="302" t="s">
        <v>115</v>
      </c>
      <c r="C17" s="338" t="s">
        <v>87</v>
      </c>
      <c r="D17" s="302" t="s">
        <v>234</v>
      </c>
      <c r="E17" s="303">
        <v>4680</v>
      </c>
      <c r="F17" s="326">
        <v>15</v>
      </c>
      <c r="G17" s="327">
        <v>1106.6199999999999</v>
      </c>
      <c r="H17" s="303"/>
      <c r="I17" s="303"/>
      <c r="J17" s="303"/>
      <c r="K17" s="303">
        <f t="shared" si="1"/>
        <v>4680</v>
      </c>
      <c r="L17" s="303">
        <v>0</v>
      </c>
      <c r="M17" s="303">
        <v>461.23</v>
      </c>
      <c r="N17" s="303">
        <f t="shared" si="2"/>
        <v>461.23</v>
      </c>
      <c r="O17" s="303">
        <v>0</v>
      </c>
      <c r="P17" s="328">
        <f t="shared" si="3"/>
        <v>538.20000000000005</v>
      </c>
      <c r="Q17" s="303">
        <f t="shared" si="4"/>
        <v>2106.0500000000002</v>
      </c>
      <c r="R17" s="358">
        <f t="shared" si="5"/>
        <v>2573.9499999999998</v>
      </c>
      <c r="S17" s="330">
        <f>+'[1]IMSS INCREMENTO 4%'!$AR$9/2</f>
        <v>321.20030334246576</v>
      </c>
      <c r="T17" s="330">
        <f>+E17*17.5%+140.4</f>
        <v>959.4</v>
      </c>
      <c r="U17" s="331">
        <f t="shared" si="7"/>
        <v>93.600000000000009</v>
      </c>
      <c r="V17" s="332">
        <f t="shared" si="6"/>
        <v>1374.2003033424658</v>
      </c>
    </row>
    <row r="18" spans="2:22" ht="18.75" x14ac:dyDescent="0.3">
      <c r="B18" s="302" t="s">
        <v>116</v>
      </c>
      <c r="C18" s="338" t="s">
        <v>89</v>
      </c>
      <c r="D18" s="302" t="s">
        <v>4</v>
      </c>
      <c r="E18" s="303">
        <v>2808</v>
      </c>
      <c r="F18" s="326">
        <v>15</v>
      </c>
      <c r="G18" s="327">
        <v>600</v>
      </c>
      <c r="H18" s="303"/>
      <c r="I18" s="303"/>
      <c r="J18" s="303"/>
      <c r="K18" s="303">
        <f t="shared" si="1"/>
        <v>2808</v>
      </c>
      <c r="L18" s="303">
        <v>147.32</v>
      </c>
      <c r="M18" s="303">
        <v>200.09</v>
      </c>
      <c r="N18" s="303">
        <f>+M18-L18</f>
        <v>52.77000000000001</v>
      </c>
      <c r="O18" s="303">
        <v>0</v>
      </c>
      <c r="P18" s="328">
        <f>E18*0.115</f>
        <v>322.92</v>
      </c>
      <c r="Q18" s="303">
        <f t="shared" si="4"/>
        <v>975.69</v>
      </c>
      <c r="R18" s="358">
        <f t="shared" si="5"/>
        <v>1832.31</v>
      </c>
      <c r="S18" s="330">
        <f>+'[1]IMSS INCREMENTO 4%'!$AR$10/2</f>
        <v>268.65840920547942</v>
      </c>
      <c r="T18" s="330">
        <f>+E18*17.5%+84.24</f>
        <v>575.64</v>
      </c>
      <c r="U18" s="331">
        <f t="shared" si="7"/>
        <v>56.160000000000004</v>
      </c>
      <c r="V18" s="332">
        <f t="shared" si="6"/>
        <v>900.45840920547937</v>
      </c>
    </row>
    <row r="19" spans="2:22" ht="18.75" x14ac:dyDescent="0.3">
      <c r="B19" s="302" t="s">
        <v>117</v>
      </c>
      <c r="C19" s="338" t="s">
        <v>88</v>
      </c>
      <c r="D19" s="302" t="s">
        <v>235</v>
      </c>
      <c r="E19" s="303">
        <v>3276</v>
      </c>
      <c r="F19" s="326">
        <v>15</v>
      </c>
      <c r="G19" s="327">
        <v>525</v>
      </c>
      <c r="H19" s="303"/>
      <c r="I19" s="303"/>
      <c r="J19" s="303"/>
      <c r="K19" s="303">
        <f>E19-I19</f>
        <v>3276</v>
      </c>
      <c r="L19" s="303">
        <v>126.77</v>
      </c>
      <c r="M19" s="303">
        <v>251</v>
      </c>
      <c r="N19" s="303">
        <f>+M19-L19</f>
        <v>124.23</v>
      </c>
      <c r="O19" s="303">
        <v>0</v>
      </c>
      <c r="P19" s="328">
        <f>E19*0.115</f>
        <v>376.74</v>
      </c>
      <c r="Q19" s="303">
        <f t="shared" si="4"/>
        <v>1025.97</v>
      </c>
      <c r="R19" s="358">
        <f t="shared" si="5"/>
        <v>2250.0299999999997</v>
      </c>
      <c r="S19" s="330">
        <f>+'[1]IMSS INCREMENTO 4%'!$AR$11/2</f>
        <v>281.79388273972603</v>
      </c>
      <c r="T19" s="330">
        <f>+E19*17.5%+98.28</f>
        <v>671.57999999999993</v>
      </c>
      <c r="U19" s="331">
        <f t="shared" si="7"/>
        <v>65.52</v>
      </c>
      <c r="V19" s="332">
        <f t="shared" si="6"/>
        <v>1018.893882739726</v>
      </c>
    </row>
    <row r="20" spans="2:22" ht="18.75" x14ac:dyDescent="0.3">
      <c r="B20" s="340" t="s">
        <v>26</v>
      </c>
      <c r="C20" s="334"/>
      <c r="D20" s="335"/>
      <c r="E20" s="336">
        <f>SUM(E12:E19)</f>
        <v>43212</v>
      </c>
      <c r="F20" s="336"/>
      <c r="G20" s="336">
        <f>+G19+G18+G17+G16+G12</f>
        <v>6565.62</v>
      </c>
      <c r="H20" s="336"/>
      <c r="I20" s="336">
        <f t="shared" ref="I20:V20" si="8">SUM(I12:I19)</f>
        <v>0</v>
      </c>
      <c r="J20" s="336">
        <f t="shared" si="8"/>
        <v>0</v>
      </c>
      <c r="K20" s="336">
        <f t="shared" si="8"/>
        <v>43212</v>
      </c>
      <c r="L20" s="336">
        <f t="shared" si="8"/>
        <v>274.08999999999997</v>
      </c>
      <c r="M20" s="336">
        <f t="shared" si="8"/>
        <v>5086.8899999999994</v>
      </c>
      <c r="N20" s="336">
        <f t="shared" si="8"/>
        <v>4812.7999999999993</v>
      </c>
      <c r="O20" s="336">
        <f t="shared" si="8"/>
        <v>0</v>
      </c>
      <c r="P20" s="336">
        <f>SUM(P12:P19)</f>
        <v>4969.38</v>
      </c>
      <c r="Q20" s="336">
        <f t="shared" si="8"/>
        <v>16347.8</v>
      </c>
      <c r="R20" s="337">
        <f>SUM(R12:R19)</f>
        <v>26864.2</v>
      </c>
      <c r="S20" s="336">
        <f t="shared" si="8"/>
        <v>2731.6066003287674</v>
      </c>
      <c r="T20" s="336">
        <f t="shared" si="8"/>
        <v>8858.4599999999991</v>
      </c>
      <c r="U20" s="336">
        <f t="shared" si="8"/>
        <v>864.2399999999999</v>
      </c>
      <c r="V20" s="336">
        <f t="shared" si="8"/>
        <v>12454.306600328768</v>
      </c>
    </row>
    <row r="21" spans="2:22" ht="18.75" hidden="1" x14ac:dyDescent="0.3">
      <c r="B21" s="340"/>
      <c r="C21" s="338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39"/>
    </row>
    <row r="22" spans="2:22" ht="18.75" x14ac:dyDescent="0.3">
      <c r="B22" s="340" t="s">
        <v>50</v>
      </c>
      <c r="C22" s="334" t="s">
        <v>160</v>
      </c>
      <c r="E22" s="303"/>
      <c r="F22" s="303"/>
      <c r="G22" s="303"/>
      <c r="H22" s="303"/>
      <c r="I22" s="303"/>
      <c r="J22" s="303"/>
      <c r="K22" s="344"/>
      <c r="L22" s="344"/>
      <c r="M22" s="303"/>
      <c r="N22" s="303"/>
      <c r="O22" s="303"/>
      <c r="P22" s="303"/>
      <c r="Q22" s="303"/>
      <c r="R22" s="339"/>
    </row>
    <row r="23" spans="2:22" ht="18.75" x14ac:dyDescent="0.3">
      <c r="B23" s="302" t="s">
        <v>119</v>
      </c>
      <c r="C23" s="338" t="s">
        <v>224</v>
      </c>
      <c r="D23" s="302" t="s">
        <v>236</v>
      </c>
      <c r="E23" s="303">
        <v>5350</v>
      </c>
      <c r="F23" s="326">
        <v>15</v>
      </c>
      <c r="G23" s="343"/>
      <c r="H23" s="303"/>
      <c r="I23" s="303"/>
      <c r="J23" s="303"/>
      <c r="K23" s="303">
        <f>E23-I23</f>
        <v>5350</v>
      </c>
      <c r="L23" s="303">
        <v>0</v>
      </c>
      <c r="M23" s="343">
        <v>588.20000000000005</v>
      </c>
      <c r="N23" s="303">
        <f>M23-L23</f>
        <v>588.20000000000005</v>
      </c>
      <c r="O23" s="303">
        <v>0</v>
      </c>
      <c r="P23" s="343"/>
      <c r="Q23" s="303">
        <f>SUM(N23:P23)+G23</f>
        <v>588.20000000000005</v>
      </c>
      <c r="R23" s="358">
        <f>K23-Q23</f>
        <v>4761.8</v>
      </c>
      <c r="S23" s="330">
        <f>+'[1]IMSS INCREMENTO 4%'!$AR$13/2</f>
        <v>340.00536160730593</v>
      </c>
      <c r="T23" s="330"/>
      <c r="U23" s="330"/>
      <c r="V23" s="332">
        <f t="shared" ref="V23" si="9">SUM(S23:U23)</f>
        <v>340.00536160730593</v>
      </c>
    </row>
    <row r="24" spans="2:22" ht="18.75" x14ac:dyDescent="0.3">
      <c r="B24" s="302" t="s">
        <v>228</v>
      </c>
      <c r="C24" s="338" t="s">
        <v>229</v>
      </c>
      <c r="D24" s="302" t="s">
        <v>237</v>
      </c>
      <c r="E24" s="303">
        <v>5350</v>
      </c>
      <c r="F24" s="326">
        <v>15</v>
      </c>
      <c r="G24" s="343"/>
      <c r="H24" s="303"/>
      <c r="I24" s="345"/>
      <c r="J24" s="303"/>
      <c r="K24" s="303">
        <f>E24-I24</f>
        <v>5350</v>
      </c>
      <c r="L24" s="303">
        <v>0</v>
      </c>
      <c r="M24" s="343">
        <v>588.20000000000005</v>
      </c>
      <c r="N24" s="303">
        <f>M24-L24</f>
        <v>588.20000000000005</v>
      </c>
      <c r="O24" s="303">
        <v>0</v>
      </c>
      <c r="P24" s="343"/>
      <c r="Q24" s="303">
        <f>SUM(N24:P24)+G24</f>
        <v>588.20000000000005</v>
      </c>
      <c r="R24" s="358">
        <f>K24-Q24</f>
        <v>4761.8</v>
      </c>
      <c r="S24" s="330">
        <f>+'[1]IMSS INCREMENTO 4%'!$AR$12/2</f>
        <v>340.00536160730593</v>
      </c>
      <c r="T24" s="330"/>
      <c r="U24" s="330"/>
      <c r="V24" s="332">
        <f t="shared" ref="V24" si="10">SUM(S24:U24)</f>
        <v>340.00536160730593</v>
      </c>
    </row>
    <row r="25" spans="2:22" ht="18.75" x14ac:dyDescent="0.3">
      <c r="B25" s="302" t="s">
        <v>120</v>
      </c>
      <c r="C25" s="338" t="s">
        <v>93</v>
      </c>
      <c r="D25" s="302" t="s">
        <v>238</v>
      </c>
      <c r="E25" s="303">
        <v>5564</v>
      </c>
      <c r="F25" s="326">
        <v>15</v>
      </c>
      <c r="G25" s="327">
        <v>1115</v>
      </c>
      <c r="H25" s="303"/>
      <c r="I25" s="346"/>
      <c r="J25" s="303"/>
      <c r="K25" s="303">
        <f>E25-I25</f>
        <v>5564</v>
      </c>
      <c r="L25" s="303">
        <v>0</v>
      </c>
      <c r="M25" s="303">
        <v>633.91</v>
      </c>
      <c r="N25" s="303">
        <f>M25-L25</f>
        <v>633.91</v>
      </c>
      <c r="O25" s="303">
        <v>0</v>
      </c>
      <c r="P25" s="328">
        <f>E25*0.115</f>
        <v>639.86</v>
      </c>
      <c r="Q25" s="303">
        <f>SUM(N25:P25)+G25</f>
        <v>2388.77</v>
      </c>
      <c r="R25" s="358">
        <f>K25-Q25</f>
        <v>3175.23</v>
      </c>
      <c r="S25" s="330">
        <f>+'[1]IMSS INCREMENTO 4%'!$AR$14/2</f>
        <v>346.01175335159814</v>
      </c>
      <c r="T25" s="330">
        <f>+E25*17.5%+166.92</f>
        <v>1140.6199999999999</v>
      </c>
      <c r="U25" s="331">
        <f t="shared" ref="U25:U26" si="11">+E25*2%</f>
        <v>111.28</v>
      </c>
      <c r="V25" s="332">
        <f>SUM(S25:U25)</f>
        <v>1597.911753351598</v>
      </c>
    </row>
    <row r="26" spans="2:22" ht="18.75" x14ac:dyDescent="0.3">
      <c r="B26" s="302" t="s">
        <v>121</v>
      </c>
      <c r="C26" s="338" t="s">
        <v>114</v>
      </c>
      <c r="D26" s="302" t="s">
        <v>237</v>
      </c>
      <c r="E26" s="303">
        <v>5564</v>
      </c>
      <c r="F26" s="326">
        <v>15</v>
      </c>
      <c r="G26" s="327">
        <v>1189</v>
      </c>
      <c r="H26" s="303"/>
      <c r="I26" s="341">
        <v>3.52</v>
      </c>
      <c r="J26" s="303"/>
      <c r="K26" s="303">
        <f>E26-I26</f>
        <v>5560.48</v>
      </c>
      <c r="L26" s="303">
        <v>0</v>
      </c>
      <c r="M26" s="303">
        <v>633.91</v>
      </c>
      <c r="N26" s="303">
        <f>M26-L26</f>
        <v>633.91</v>
      </c>
      <c r="O26" s="303">
        <v>0</v>
      </c>
      <c r="P26" s="328">
        <f>E26*0.115</f>
        <v>639.86</v>
      </c>
      <c r="Q26" s="303">
        <f>SUM(N26:P26)+G26</f>
        <v>2462.77</v>
      </c>
      <c r="R26" s="358">
        <f>K26-Q26</f>
        <v>3097.7099999999996</v>
      </c>
      <c r="S26" s="330">
        <f>+'[1]IMSS INCREMENTO 4%'!$AR$15/2</f>
        <v>346.01175335159814</v>
      </c>
      <c r="T26" s="330">
        <f>+E26*17.5%+166.92</f>
        <v>1140.6199999999999</v>
      </c>
      <c r="U26" s="331">
        <f t="shared" si="11"/>
        <v>111.28</v>
      </c>
      <c r="V26" s="332">
        <f>SUM(S26:U26)</f>
        <v>1597.911753351598</v>
      </c>
    </row>
    <row r="27" spans="2:22" ht="18.75" x14ac:dyDescent="0.3">
      <c r="B27" s="340" t="s">
        <v>26</v>
      </c>
      <c r="C27" s="334"/>
      <c r="D27" s="335"/>
      <c r="E27" s="336">
        <f>SUM(E23:E26)</f>
        <v>21828</v>
      </c>
      <c r="F27" s="336"/>
      <c r="G27" s="336">
        <f>+G26+G25+G23+G24</f>
        <v>2304</v>
      </c>
      <c r="H27" s="336"/>
      <c r="I27" s="336">
        <f t="shared" ref="I27:N27" si="12">SUM(I23:I26)</f>
        <v>3.52</v>
      </c>
      <c r="J27" s="336">
        <f t="shared" si="12"/>
        <v>0</v>
      </c>
      <c r="K27" s="336">
        <f t="shared" si="12"/>
        <v>21824.48</v>
      </c>
      <c r="L27" s="336">
        <f t="shared" si="12"/>
        <v>0</v>
      </c>
      <c r="M27" s="336">
        <f t="shared" si="12"/>
        <v>2444.2199999999998</v>
      </c>
      <c r="N27" s="336">
        <f t="shared" si="12"/>
        <v>2444.2199999999998</v>
      </c>
      <c r="O27" s="336">
        <f t="shared" ref="O27:V27" si="13">SUM(O23:O26)</f>
        <v>0</v>
      </c>
      <c r="P27" s="336">
        <f t="shared" si="13"/>
        <v>1279.72</v>
      </c>
      <c r="Q27" s="336">
        <f t="shared" si="13"/>
        <v>6027.9400000000005</v>
      </c>
      <c r="R27" s="337">
        <f t="shared" si="13"/>
        <v>15796.539999999999</v>
      </c>
      <c r="S27" s="336">
        <f t="shared" si="13"/>
        <v>1372.0342299178083</v>
      </c>
      <c r="T27" s="336">
        <f t="shared" si="13"/>
        <v>2281.2399999999998</v>
      </c>
      <c r="U27" s="336">
        <f t="shared" si="13"/>
        <v>222.56</v>
      </c>
      <c r="V27" s="336">
        <f t="shared" si="13"/>
        <v>3875.8342299178075</v>
      </c>
    </row>
    <row r="28" spans="2:22" ht="18.75" hidden="1" x14ac:dyDescent="0.3">
      <c r="C28" s="338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39"/>
    </row>
    <row r="29" spans="2:22" ht="18.75" x14ac:dyDescent="0.3">
      <c r="B29" s="340" t="s">
        <v>63</v>
      </c>
      <c r="C29" s="334" t="s">
        <v>51</v>
      </c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39"/>
    </row>
    <row r="30" spans="2:22" ht="18.75" x14ac:dyDescent="0.3">
      <c r="B30" s="302" t="s">
        <v>122</v>
      </c>
      <c r="C30" s="338" t="s">
        <v>97</v>
      </c>
      <c r="D30" s="302" t="s">
        <v>80</v>
      </c>
      <c r="E30" s="303">
        <v>5564</v>
      </c>
      <c r="F30" s="326">
        <v>15</v>
      </c>
      <c r="G30" s="303"/>
      <c r="H30" s="303"/>
      <c r="I30" s="346"/>
      <c r="J30" s="303"/>
      <c r="K30" s="303">
        <f t="shared" ref="K30:K39" si="14">E30-I30</f>
        <v>5564</v>
      </c>
      <c r="L30" s="303">
        <v>0</v>
      </c>
      <c r="M30" s="303">
        <v>633.91</v>
      </c>
      <c r="N30" s="303">
        <f>M30-L30</f>
        <v>633.91</v>
      </c>
      <c r="O30" s="303">
        <v>0</v>
      </c>
      <c r="P30" s="328">
        <f>E30*0.115</f>
        <v>639.86</v>
      </c>
      <c r="Q30" s="303">
        <f t="shared" ref="Q30:Q40" si="15">SUM(N30:P30)+G30</f>
        <v>1273.77</v>
      </c>
      <c r="R30" s="358">
        <f t="shared" ref="R30:R40" si="16">K30-Q30</f>
        <v>4290.2299999999996</v>
      </c>
      <c r="S30" s="330">
        <f>+'[1]IMSS INCREMENTO 4%'!$AR$16/2</f>
        <v>346.01175335159814</v>
      </c>
      <c r="T30" s="330">
        <f>+E30*17.5%+166.92</f>
        <v>1140.6199999999999</v>
      </c>
      <c r="U30" s="331">
        <f t="shared" ref="U30:U40" si="17">+E30*2%</f>
        <v>111.28</v>
      </c>
      <c r="V30" s="332">
        <f>SUM(S30:U30)</f>
        <v>1597.911753351598</v>
      </c>
    </row>
    <row r="31" spans="2:22" ht="18.75" x14ac:dyDescent="0.3">
      <c r="B31" s="302" t="s">
        <v>123</v>
      </c>
      <c r="C31" s="338" t="s">
        <v>100</v>
      </c>
      <c r="D31" s="302" t="s">
        <v>80</v>
      </c>
      <c r="E31" s="303">
        <v>5564</v>
      </c>
      <c r="F31" s="326">
        <v>15</v>
      </c>
      <c r="G31" s="327">
        <v>904</v>
      </c>
      <c r="H31" s="303"/>
      <c r="I31" s="341">
        <v>11.44</v>
      </c>
      <c r="J31" s="343"/>
      <c r="K31" s="343">
        <f>E31-I31</f>
        <v>5552.56</v>
      </c>
      <c r="L31" s="343">
        <v>0</v>
      </c>
      <c r="M31" s="303">
        <v>633.91</v>
      </c>
      <c r="N31" s="303">
        <f t="shared" ref="N31:N40" si="18">M31-L31</f>
        <v>633.91</v>
      </c>
      <c r="O31" s="303">
        <v>0</v>
      </c>
      <c r="P31" s="328">
        <f>E31*0.115</f>
        <v>639.86</v>
      </c>
      <c r="Q31" s="303">
        <f>SUM(N31:P31)+G31</f>
        <v>2177.77</v>
      </c>
      <c r="R31" s="358">
        <f t="shared" si="16"/>
        <v>3374.7900000000004</v>
      </c>
      <c r="S31" s="330">
        <f>+'[1]IMSS INCREMENTO 4%'!$AR$17/2</f>
        <v>346.01175335159814</v>
      </c>
      <c r="T31" s="330">
        <f>+E31*17.5%+166.92</f>
        <v>1140.6199999999999</v>
      </c>
      <c r="U31" s="331">
        <f t="shared" si="17"/>
        <v>111.28</v>
      </c>
      <c r="V31" s="332">
        <f>SUM(S31:U31)</f>
        <v>1597.911753351598</v>
      </c>
    </row>
    <row r="32" spans="2:22" ht="18.75" x14ac:dyDescent="0.3">
      <c r="B32" s="302" t="s">
        <v>124</v>
      </c>
      <c r="C32" s="338" t="s">
        <v>96</v>
      </c>
      <c r="D32" s="302" t="s">
        <v>239</v>
      </c>
      <c r="E32" s="303">
        <v>6240</v>
      </c>
      <c r="F32" s="326">
        <v>15</v>
      </c>
      <c r="G32" s="303"/>
      <c r="H32" s="303"/>
      <c r="I32" s="341">
        <v>7.04</v>
      </c>
      <c r="J32" s="303"/>
      <c r="K32" s="303">
        <f>E32-I32</f>
        <v>6232.96</v>
      </c>
      <c r="L32" s="303">
        <v>0</v>
      </c>
      <c r="M32" s="303">
        <v>778.31</v>
      </c>
      <c r="N32" s="303">
        <f>M32-L32</f>
        <v>778.31</v>
      </c>
      <c r="O32" s="303">
        <v>0</v>
      </c>
      <c r="P32" s="328">
        <f>E32*0.115</f>
        <v>717.6</v>
      </c>
      <c r="Q32" s="303">
        <f t="shared" si="15"/>
        <v>1495.9099999999999</v>
      </c>
      <c r="R32" s="358">
        <f t="shared" si="16"/>
        <v>4737.05</v>
      </c>
      <c r="S32" s="330">
        <f>+'[1]IMSS INCREMENTO 4%'!$AR$18/2</f>
        <v>364.98521512328773</v>
      </c>
      <c r="T32" s="330">
        <f>+E32*17.5%+187.2</f>
        <v>1279.2</v>
      </c>
      <c r="U32" s="331">
        <f t="shared" si="17"/>
        <v>124.8</v>
      </c>
      <c r="V32" s="332">
        <f t="shared" ref="V32:V40" si="19">SUM(S32:U32)</f>
        <v>1768.9852151232878</v>
      </c>
    </row>
    <row r="33" spans="2:22" ht="18.75" x14ac:dyDescent="0.3">
      <c r="B33" s="302" t="s">
        <v>133</v>
      </c>
      <c r="C33" s="338" t="s">
        <v>225</v>
      </c>
      <c r="D33" s="302" t="s">
        <v>243</v>
      </c>
      <c r="E33" s="303">
        <v>5350</v>
      </c>
      <c r="F33" s="326">
        <v>15</v>
      </c>
      <c r="G33" s="303"/>
      <c r="H33" s="303"/>
      <c r="I33" s="303"/>
      <c r="J33" s="343"/>
      <c r="K33" s="343">
        <f t="shared" si="14"/>
        <v>5350</v>
      </c>
      <c r="L33" s="343">
        <v>0</v>
      </c>
      <c r="M33" s="343">
        <v>588.20000000000005</v>
      </c>
      <c r="N33" s="343">
        <f t="shared" si="18"/>
        <v>588.20000000000005</v>
      </c>
      <c r="O33" s="303">
        <v>0</v>
      </c>
      <c r="P33" s="343"/>
      <c r="Q33" s="303">
        <f>SUM(N33:P33)+G33</f>
        <v>588.20000000000005</v>
      </c>
      <c r="R33" s="358">
        <f>K33-Q33</f>
        <v>4761.8</v>
      </c>
      <c r="S33" s="330">
        <f>+'[1]IMSS INCREMENTO 4%'!$AR$27/2</f>
        <v>340.00536160730593</v>
      </c>
      <c r="T33" s="330"/>
      <c r="U33" s="330"/>
      <c r="V33" s="332">
        <f t="shared" ref="V33" si="20">SUM(S33:U33)</f>
        <v>340.00536160730593</v>
      </c>
    </row>
    <row r="34" spans="2:22" ht="18.75" x14ac:dyDescent="0.3">
      <c r="B34" s="302" t="s">
        <v>126</v>
      </c>
      <c r="C34" s="338" t="s">
        <v>94</v>
      </c>
      <c r="D34" s="302" t="s">
        <v>240</v>
      </c>
      <c r="E34" s="303">
        <v>5564</v>
      </c>
      <c r="F34" s="326">
        <v>15</v>
      </c>
      <c r="G34" s="327">
        <v>595</v>
      </c>
      <c r="H34" s="303"/>
      <c r="I34" s="341">
        <v>17.600000000000001</v>
      </c>
      <c r="J34" s="343"/>
      <c r="K34" s="343">
        <f>E34-I34</f>
        <v>5546.4</v>
      </c>
      <c r="L34" s="343">
        <v>0</v>
      </c>
      <c r="M34" s="303">
        <v>633.91</v>
      </c>
      <c r="N34" s="303">
        <f t="shared" si="18"/>
        <v>633.91</v>
      </c>
      <c r="O34" s="303">
        <v>0</v>
      </c>
      <c r="P34" s="328">
        <f t="shared" ref="P34:P40" si="21">E34*0.115</f>
        <v>639.86</v>
      </c>
      <c r="Q34" s="303">
        <f t="shared" si="15"/>
        <v>1868.77</v>
      </c>
      <c r="R34" s="358">
        <f t="shared" si="16"/>
        <v>3677.6299999999997</v>
      </c>
      <c r="S34" s="330">
        <f>+'[1]IMSS INCREMENTO 4%'!$AR$20/2</f>
        <v>346.01175335159814</v>
      </c>
      <c r="T34" s="330">
        <f t="shared" ref="T34:T40" si="22">+E34*17.5%+166.92</f>
        <v>1140.6199999999999</v>
      </c>
      <c r="U34" s="331">
        <f t="shared" si="17"/>
        <v>111.28</v>
      </c>
      <c r="V34" s="332">
        <f t="shared" si="19"/>
        <v>1597.911753351598</v>
      </c>
    </row>
    <row r="35" spans="2:22" ht="18.75" x14ac:dyDescent="0.3">
      <c r="B35" s="302" t="s">
        <v>127</v>
      </c>
      <c r="C35" s="338" t="s">
        <v>98</v>
      </c>
      <c r="D35" s="302" t="s">
        <v>240</v>
      </c>
      <c r="E35" s="303">
        <v>5564</v>
      </c>
      <c r="F35" s="326">
        <v>15</v>
      </c>
      <c r="G35" s="303"/>
      <c r="H35" s="343"/>
      <c r="I35" s="303"/>
      <c r="J35" s="343"/>
      <c r="K35" s="343">
        <f>E35-I35</f>
        <v>5564</v>
      </c>
      <c r="L35" s="343">
        <v>0</v>
      </c>
      <c r="M35" s="303">
        <v>633.91</v>
      </c>
      <c r="N35" s="343">
        <f t="shared" si="18"/>
        <v>633.91</v>
      </c>
      <c r="O35" s="303">
        <v>0</v>
      </c>
      <c r="P35" s="328">
        <f>E35*0.115</f>
        <v>639.86</v>
      </c>
      <c r="Q35" s="303">
        <f t="shared" si="15"/>
        <v>1273.77</v>
      </c>
      <c r="R35" s="358">
        <f t="shared" si="16"/>
        <v>4290.2299999999996</v>
      </c>
      <c r="S35" s="330">
        <f>+'[1]IMSS INCREMENTO 4%'!$AR$21/2</f>
        <v>346.01175335159814</v>
      </c>
      <c r="T35" s="330">
        <f t="shared" si="22"/>
        <v>1140.6199999999999</v>
      </c>
      <c r="U35" s="331">
        <f t="shared" si="17"/>
        <v>111.28</v>
      </c>
      <c r="V35" s="332">
        <f t="shared" si="19"/>
        <v>1597.911753351598</v>
      </c>
    </row>
    <row r="36" spans="2:22" ht="18.75" x14ac:dyDescent="0.3">
      <c r="B36" s="302" t="s">
        <v>128</v>
      </c>
      <c r="C36" s="338" t="s">
        <v>101</v>
      </c>
      <c r="D36" s="302" t="s">
        <v>240</v>
      </c>
      <c r="E36" s="303">
        <v>5564</v>
      </c>
      <c r="F36" s="326">
        <v>15</v>
      </c>
      <c r="G36" s="303"/>
      <c r="H36" s="303"/>
      <c r="I36" s="341">
        <v>3.52</v>
      </c>
      <c r="J36" s="343"/>
      <c r="K36" s="343">
        <f>E36-I36</f>
        <v>5560.48</v>
      </c>
      <c r="L36" s="343">
        <v>0</v>
      </c>
      <c r="M36" s="303">
        <v>633.91</v>
      </c>
      <c r="N36" s="303">
        <f>M36-L36</f>
        <v>633.91</v>
      </c>
      <c r="O36" s="303">
        <v>0</v>
      </c>
      <c r="P36" s="328">
        <f t="shared" si="21"/>
        <v>639.86</v>
      </c>
      <c r="Q36" s="303">
        <f t="shared" si="15"/>
        <v>1273.77</v>
      </c>
      <c r="R36" s="358">
        <f t="shared" si="16"/>
        <v>4286.7099999999991</v>
      </c>
      <c r="S36" s="330">
        <f>+'[1]IMSS INCREMENTO 4%'!$AR$22/2</f>
        <v>346.01175335159814</v>
      </c>
      <c r="T36" s="330">
        <f t="shared" si="22"/>
        <v>1140.6199999999999</v>
      </c>
      <c r="U36" s="331">
        <f t="shared" si="17"/>
        <v>111.28</v>
      </c>
      <c r="V36" s="332">
        <f t="shared" si="19"/>
        <v>1597.911753351598</v>
      </c>
    </row>
    <row r="37" spans="2:22" ht="18.75" x14ac:dyDescent="0.3">
      <c r="B37" s="302" t="s">
        <v>129</v>
      </c>
      <c r="C37" s="338" t="s">
        <v>95</v>
      </c>
      <c r="D37" s="302" t="s">
        <v>241</v>
      </c>
      <c r="E37" s="303">
        <v>5564</v>
      </c>
      <c r="F37" s="326">
        <v>15</v>
      </c>
      <c r="G37" s="343"/>
      <c r="H37" s="303"/>
      <c r="I37" s="341"/>
      <c r="J37" s="303"/>
      <c r="K37" s="303">
        <f t="shared" si="14"/>
        <v>5564</v>
      </c>
      <c r="L37" s="303">
        <v>0</v>
      </c>
      <c r="M37" s="303">
        <v>633.91</v>
      </c>
      <c r="N37" s="303">
        <f t="shared" si="18"/>
        <v>633.91</v>
      </c>
      <c r="O37" s="303">
        <v>0</v>
      </c>
      <c r="P37" s="328">
        <f t="shared" si="21"/>
        <v>639.86</v>
      </c>
      <c r="Q37" s="303">
        <f t="shared" si="15"/>
        <v>1273.77</v>
      </c>
      <c r="R37" s="358">
        <f t="shared" si="16"/>
        <v>4290.2299999999996</v>
      </c>
      <c r="S37" s="330">
        <f>+'[1]IMSS INCREMENTO 4%'!$AR$23/2</f>
        <v>346.01175335159814</v>
      </c>
      <c r="T37" s="330">
        <f t="shared" si="22"/>
        <v>1140.6199999999999</v>
      </c>
      <c r="U37" s="331">
        <f t="shared" si="17"/>
        <v>111.28</v>
      </c>
      <c r="V37" s="332">
        <f t="shared" si="19"/>
        <v>1597.911753351598</v>
      </c>
    </row>
    <row r="38" spans="2:22" ht="18.75" x14ac:dyDescent="0.3">
      <c r="B38" s="302" t="s">
        <v>130</v>
      </c>
      <c r="C38" s="338" t="s">
        <v>102</v>
      </c>
      <c r="D38" s="302" t="s">
        <v>241</v>
      </c>
      <c r="E38" s="303">
        <v>5564</v>
      </c>
      <c r="F38" s="326">
        <v>15</v>
      </c>
      <c r="G38" s="343"/>
      <c r="H38" s="303"/>
      <c r="I38" s="341"/>
      <c r="J38" s="303"/>
      <c r="K38" s="303">
        <f>E38-I38</f>
        <v>5564</v>
      </c>
      <c r="L38" s="303">
        <v>0</v>
      </c>
      <c r="M38" s="303">
        <v>633.91</v>
      </c>
      <c r="N38" s="303">
        <f t="shared" si="18"/>
        <v>633.91</v>
      </c>
      <c r="O38" s="303">
        <v>0</v>
      </c>
      <c r="P38" s="328">
        <f t="shared" si="21"/>
        <v>639.86</v>
      </c>
      <c r="Q38" s="303">
        <f t="shared" si="15"/>
        <v>1273.77</v>
      </c>
      <c r="R38" s="358">
        <f t="shared" si="16"/>
        <v>4290.2299999999996</v>
      </c>
      <c r="S38" s="330">
        <f>+'[1]IMSS INCREMENTO 4%'!$AR$24/2</f>
        <v>346.01175335159814</v>
      </c>
      <c r="T38" s="330">
        <f t="shared" si="22"/>
        <v>1140.6199999999999</v>
      </c>
      <c r="U38" s="331">
        <f t="shared" si="17"/>
        <v>111.28</v>
      </c>
      <c r="V38" s="332">
        <f t="shared" si="19"/>
        <v>1597.911753351598</v>
      </c>
    </row>
    <row r="39" spans="2:22" ht="18.75" x14ac:dyDescent="0.3">
      <c r="B39" s="302" t="s">
        <v>131</v>
      </c>
      <c r="C39" s="338" t="s">
        <v>85</v>
      </c>
      <c r="D39" s="302" t="s">
        <v>242</v>
      </c>
      <c r="E39" s="303">
        <v>5564</v>
      </c>
      <c r="F39" s="326">
        <v>15</v>
      </c>
      <c r="G39" s="327">
        <v>1784</v>
      </c>
      <c r="H39" s="303"/>
      <c r="I39" s="341"/>
      <c r="J39" s="303"/>
      <c r="K39" s="303">
        <f t="shared" si="14"/>
        <v>5564</v>
      </c>
      <c r="L39" s="303">
        <v>0</v>
      </c>
      <c r="M39" s="303">
        <v>633.91</v>
      </c>
      <c r="N39" s="303">
        <f t="shared" si="18"/>
        <v>633.91</v>
      </c>
      <c r="O39" s="303">
        <v>0</v>
      </c>
      <c r="P39" s="328">
        <f t="shared" si="21"/>
        <v>639.86</v>
      </c>
      <c r="Q39" s="303">
        <f t="shared" si="15"/>
        <v>3057.77</v>
      </c>
      <c r="R39" s="358">
        <f t="shared" si="16"/>
        <v>2506.23</v>
      </c>
      <c r="S39" s="330">
        <f>+'[1]IMSS INCREMENTO 4%'!$AR$25/2</f>
        <v>346.01175335159814</v>
      </c>
      <c r="T39" s="330">
        <f t="shared" si="22"/>
        <v>1140.6199999999999</v>
      </c>
      <c r="U39" s="331">
        <f t="shared" si="17"/>
        <v>111.28</v>
      </c>
      <c r="V39" s="332">
        <f t="shared" si="19"/>
        <v>1597.911753351598</v>
      </c>
    </row>
    <row r="40" spans="2:22" ht="18.75" x14ac:dyDescent="0.3">
      <c r="B40" s="302" t="s">
        <v>132</v>
      </c>
      <c r="C40" s="338" t="s">
        <v>103</v>
      </c>
      <c r="D40" s="302" t="s">
        <v>242</v>
      </c>
      <c r="E40" s="303">
        <v>5564</v>
      </c>
      <c r="F40" s="326">
        <v>15</v>
      </c>
      <c r="G40" s="327">
        <v>2293</v>
      </c>
      <c r="H40" s="303"/>
      <c r="I40" s="341">
        <v>2.64</v>
      </c>
      <c r="J40" s="303"/>
      <c r="K40" s="303">
        <f>E40-I40</f>
        <v>5561.36</v>
      </c>
      <c r="L40" s="303">
        <v>0</v>
      </c>
      <c r="M40" s="303">
        <v>633.91</v>
      </c>
      <c r="N40" s="303">
        <f t="shared" si="18"/>
        <v>633.91</v>
      </c>
      <c r="O40" s="303">
        <v>0</v>
      </c>
      <c r="P40" s="328">
        <f t="shared" si="21"/>
        <v>639.86</v>
      </c>
      <c r="Q40" s="303">
        <f t="shared" si="15"/>
        <v>3566.77</v>
      </c>
      <c r="R40" s="358">
        <f t="shared" si="16"/>
        <v>1994.5899999999997</v>
      </c>
      <c r="S40" s="330">
        <f>+'[1]IMSS INCREMENTO 4%'!$AR$26/2</f>
        <v>346.01175335159814</v>
      </c>
      <c r="T40" s="330">
        <f t="shared" si="22"/>
        <v>1140.6199999999999</v>
      </c>
      <c r="U40" s="331">
        <f t="shared" si="17"/>
        <v>111.28</v>
      </c>
      <c r="V40" s="332">
        <f t="shared" si="19"/>
        <v>1597.911753351598</v>
      </c>
    </row>
    <row r="41" spans="2:22" ht="18.75" x14ac:dyDescent="0.3">
      <c r="B41" s="340" t="s">
        <v>26</v>
      </c>
      <c r="C41" s="334"/>
      <c r="D41" s="335"/>
      <c r="E41" s="336">
        <f>SUM(E30:E40)</f>
        <v>61666</v>
      </c>
      <c r="F41" s="336"/>
      <c r="G41" s="336">
        <f>+G40+G39+G38+G37+G36+G35+G34+G31</f>
        <v>5576</v>
      </c>
      <c r="H41" s="336"/>
      <c r="I41" s="336">
        <f>SUM(I30:I40)</f>
        <v>42.24</v>
      </c>
      <c r="J41" s="336">
        <f t="shared" ref="J41:V41" si="23">SUM(J30:J40)</f>
        <v>0</v>
      </c>
      <c r="K41" s="336">
        <f>SUM(K30:K40)</f>
        <v>61623.759999999995</v>
      </c>
      <c r="L41" s="336">
        <f>SUM(L30:L40)</f>
        <v>0</v>
      </c>
      <c r="M41" s="336">
        <f t="shared" si="23"/>
        <v>7071.6999999999989</v>
      </c>
      <c r="N41" s="336">
        <f>SUM(N30:N40)</f>
        <v>7071.6999999999989</v>
      </c>
      <c r="O41" s="336">
        <f t="shared" si="23"/>
        <v>0</v>
      </c>
      <c r="P41" s="336">
        <f t="shared" si="23"/>
        <v>6476.3399999999992</v>
      </c>
      <c r="Q41" s="336">
        <f t="shared" si="23"/>
        <v>19124.04</v>
      </c>
      <c r="R41" s="337">
        <f t="shared" si="23"/>
        <v>42499.719999999994</v>
      </c>
      <c r="S41" s="336">
        <f t="shared" si="23"/>
        <v>3819.0963568949769</v>
      </c>
      <c r="T41" s="336">
        <f t="shared" si="23"/>
        <v>11544.779999999999</v>
      </c>
      <c r="U41" s="336">
        <f t="shared" si="23"/>
        <v>1126.32</v>
      </c>
      <c r="V41" s="336">
        <f t="shared" si="23"/>
        <v>16490.196356894976</v>
      </c>
    </row>
    <row r="42" spans="2:22" ht="18.75" hidden="1" x14ac:dyDescent="0.3">
      <c r="C42" s="338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39"/>
    </row>
    <row r="43" spans="2:22" ht="18.75" x14ac:dyDescent="0.3">
      <c r="B43" s="340" t="s">
        <v>140</v>
      </c>
      <c r="C43" s="334" t="s">
        <v>64</v>
      </c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39"/>
    </row>
    <row r="44" spans="2:22" ht="18.75" x14ac:dyDescent="0.3">
      <c r="B44" s="302" t="s">
        <v>125</v>
      </c>
      <c r="C44" s="338" t="s">
        <v>104</v>
      </c>
      <c r="D44" s="302" t="s">
        <v>254</v>
      </c>
      <c r="E44" s="303">
        <v>6240</v>
      </c>
      <c r="F44" s="326">
        <v>15</v>
      </c>
      <c r="G44" s="339"/>
      <c r="H44" s="303"/>
      <c r="I44" s="341">
        <v>3.52</v>
      </c>
      <c r="J44" s="343"/>
      <c r="K44" s="343">
        <f t="shared" ref="K44" si="24">E44-I44</f>
        <v>6236.48</v>
      </c>
      <c r="L44" s="343">
        <v>0</v>
      </c>
      <c r="M44" s="303">
        <v>633.91</v>
      </c>
      <c r="N44" s="343">
        <v>778.31</v>
      </c>
      <c r="O44" s="303">
        <v>0</v>
      </c>
      <c r="P44" s="328">
        <f t="shared" ref="P44:P45" si="25">E44*0.115</f>
        <v>717.6</v>
      </c>
      <c r="Q44" s="303">
        <f t="shared" ref="Q44" si="26">SUM(N44:P44)+G44</f>
        <v>1495.9099999999999</v>
      </c>
      <c r="R44" s="358">
        <f t="shared" ref="R44" si="27">K44-Q44</f>
        <v>4740.57</v>
      </c>
      <c r="S44" s="330">
        <f>+'[1]IMSS INCREMENTO 4%'!$AR$18/2</f>
        <v>364.98521512328773</v>
      </c>
      <c r="T44" s="330">
        <f>+E44*17.5%+187.2</f>
        <v>1279.2</v>
      </c>
      <c r="U44" s="331">
        <f t="shared" ref="U44:U45" si="28">+E44*2%</f>
        <v>124.8</v>
      </c>
      <c r="V44" s="332">
        <f t="shared" ref="V44:V45" si="29">SUM(S44:U44)</f>
        <v>1768.9852151232878</v>
      </c>
    </row>
    <row r="45" spans="2:22" ht="18.75" x14ac:dyDescent="0.3">
      <c r="B45" s="302" t="s">
        <v>152</v>
      </c>
      <c r="C45" s="338" t="s">
        <v>92</v>
      </c>
      <c r="D45" s="302" t="s">
        <v>244</v>
      </c>
      <c r="E45" s="303">
        <v>5564</v>
      </c>
      <c r="F45" s="326">
        <v>15</v>
      </c>
      <c r="G45" s="303"/>
      <c r="H45" s="303"/>
      <c r="I45" s="341"/>
      <c r="J45" s="303"/>
      <c r="K45" s="303">
        <f>E45-I45</f>
        <v>5564</v>
      </c>
      <c r="L45" s="303">
        <v>0</v>
      </c>
      <c r="M45" s="303">
        <v>633.91</v>
      </c>
      <c r="N45" s="303">
        <f t="shared" ref="N45" si="30">M45-L45</f>
        <v>633.91</v>
      </c>
      <c r="O45" s="303">
        <v>0</v>
      </c>
      <c r="P45" s="328">
        <f t="shared" si="25"/>
        <v>639.86</v>
      </c>
      <c r="Q45" s="303">
        <f>SUM(N45:P45)+G45</f>
        <v>1273.77</v>
      </c>
      <c r="R45" s="358">
        <f>K45-Q45</f>
        <v>4290.2299999999996</v>
      </c>
      <c r="S45" s="330">
        <f>+'[1]IMSS INCREMENTO 4%'!$AR$28/2</f>
        <v>346.01175335159814</v>
      </c>
      <c r="T45" s="330">
        <f>+E45*17.5%+166.92</f>
        <v>1140.6199999999999</v>
      </c>
      <c r="U45" s="331">
        <f t="shared" si="28"/>
        <v>111.28</v>
      </c>
      <c r="V45" s="332">
        <f t="shared" si="29"/>
        <v>1597.911753351598</v>
      </c>
    </row>
    <row r="46" spans="2:22" ht="18.75" x14ac:dyDescent="0.3">
      <c r="B46" s="302" t="s">
        <v>220</v>
      </c>
      <c r="C46" s="338" t="s">
        <v>221</v>
      </c>
      <c r="D46" s="302" t="s">
        <v>222</v>
      </c>
      <c r="E46" s="303">
        <v>5350</v>
      </c>
      <c r="F46" s="326">
        <v>15</v>
      </c>
      <c r="G46" s="303"/>
      <c r="H46" s="303"/>
      <c r="I46" s="303"/>
      <c r="J46" s="303"/>
      <c r="K46" s="303">
        <f>E46-I46</f>
        <v>5350</v>
      </c>
      <c r="L46" s="303">
        <v>0</v>
      </c>
      <c r="M46" s="303">
        <v>588.20000000000005</v>
      </c>
      <c r="N46" s="303">
        <v>588.20000000000005</v>
      </c>
      <c r="O46" s="303">
        <v>0</v>
      </c>
      <c r="P46" s="303"/>
      <c r="Q46" s="303">
        <f>SUM(N46:P46)+G46</f>
        <v>588.20000000000005</v>
      </c>
      <c r="R46" s="329">
        <f>K46-Q46</f>
        <v>4761.8</v>
      </c>
      <c r="S46" s="330">
        <f>+'[1]IMSS INCREMENTO 4%'!$AR$29/2</f>
        <v>340.00536160730593</v>
      </c>
      <c r="T46" s="330"/>
      <c r="U46" s="330"/>
      <c r="V46" s="332">
        <f t="shared" ref="V46" si="31">SUM(S46:U46)</f>
        <v>340.00536160730593</v>
      </c>
    </row>
    <row r="47" spans="2:22" ht="18.75" x14ac:dyDescent="0.3">
      <c r="B47" s="340" t="s">
        <v>26</v>
      </c>
      <c r="C47" s="334"/>
      <c r="D47" s="335"/>
      <c r="E47" s="336">
        <f>E44+E45+E46</f>
        <v>17154</v>
      </c>
      <c r="F47" s="336"/>
      <c r="G47" s="336">
        <f t="shared" ref="G47:V47" si="32">G44+G45+G46</f>
        <v>0</v>
      </c>
      <c r="H47" s="336">
        <f t="shared" si="32"/>
        <v>0</v>
      </c>
      <c r="I47" s="336">
        <f>I44+I45+I46</f>
        <v>3.52</v>
      </c>
      <c r="J47" s="336">
        <f t="shared" si="32"/>
        <v>0</v>
      </c>
      <c r="K47" s="336">
        <f>K44+K45+K46</f>
        <v>17150.48</v>
      </c>
      <c r="L47" s="336">
        <f t="shared" si="32"/>
        <v>0</v>
      </c>
      <c r="M47" s="336">
        <f t="shared" si="32"/>
        <v>1856.02</v>
      </c>
      <c r="N47" s="336">
        <f>N44+N45+N46</f>
        <v>2000.4199999999998</v>
      </c>
      <c r="O47" s="336">
        <f t="shared" si="32"/>
        <v>0</v>
      </c>
      <c r="P47" s="336">
        <f t="shared" si="32"/>
        <v>1357.46</v>
      </c>
      <c r="Q47" s="336">
        <f t="shared" si="32"/>
        <v>3357.88</v>
      </c>
      <c r="R47" s="337">
        <f t="shared" si="32"/>
        <v>13792.599999999999</v>
      </c>
      <c r="S47" s="336">
        <f t="shared" si="32"/>
        <v>1051.0023300821917</v>
      </c>
      <c r="T47" s="336">
        <f t="shared" si="32"/>
        <v>2419.8199999999997</v>
      </c>
      <c r="U47" s="336">
        <f t="shared" si="32"/>
        <v>236.07999999999998</v>
      </c>
      <c r="V47" s="336">
        <f t="shared" si="32"/>
        <v>3706.9023300821918</v>
      </c>
    </row>
    <row r="48" spans="2:22" ht="18.75" hidden="1" x14ac:dyDescent="0.3">
      <c r="B48" s="340"/>
      <c r="C48" s="338"/>
      <c r="E48" s="303"/>
      <c r="F48" s="303"/>
      <c r="G48" s="303"/>
      <c r="H48" s="303"/>
      <c r="I48" s="303"/>
      <c r="J48" s="303"/>
      <c r="K48" s="347"/>
      <c r="L48" s="347"/>
      <c r="M48" s="347"/>
      <c r="N48" s="347"/>
      <c r="O48" s="347"/>
      <c r="P48" s="347"/>
      <c r="Q48" s="347"/>
      <c r="R48" s="348"/>
      <c r="S48" s="349"/>
      <c r="T48" s="349"/>
      <c r="U48" s="349"/>
      <c r="V48" s="349"/>
    </row>
    <row r="49" spans="2:22" ht="18.75" x14ac:dyDescent="0.3">
      <c r="B49" s="340" t="s">
        <v>161</v>
      </c>
      <c r="C49" s="334" t="s">
        <v>162</v>
      </c>
      <c r="E49" s="303"/>
      <c r="F49" s="303"/>
      <c r="G49" s="303"/>
      <c r="H49" s="303"/>
      <c r="I49" s="303"/>
      <c r="J49" s="303"/>
      <c r="K49" s="347"/>
      <c r="L49" s="347"/>
      <c r="M49" s="347"/>
      <c r="N49" s="347"/>
      <c r="O49" s="347"/>
      <c r="P49" s="347"/>
      <c r="Q49" s="347"/>
      <c r="R49" s="348"/>
      <c r="S49" s="349"/>
      <c r="T49" s="349"/>
      <c r="U49" s="349"/>
      <c r="V49" s="349"/>
    </row>
    <row r="50" spans="2:22" ht="18.75" x14ac:dyDescent="0.3">
      <c r="B50" s="302" t="s">
        <v>163</v>
      </c>
      <c r="C50" s="325" t="s">
        <v>42</v>
      </c>
      <c r="D50" s="302" t="s">
        <v>230</v>
      </c>
      <c r="E50" s="303">
        <v>10400</v>
      </c>
      <c r="F50" s="326">
        <v>15</v>
      </c>
      <c r="G50" s="303"/>
      <c r="H50" s="303"/>
      <c r="I50" s="303"/>
      <c r="J50" s="303"/>
      <c r="K50" s="303">
        <f>E50-I50</f>
        <v>10400</v>
      </c>
      <c r="L50" s="303">
        <v>0</v>
      </c>
      <c r="M50" s="303">
        <v>1667.21</v>
      </c>
      <c r="N50" s="303">
        <f>M50-L50</f>
        <v>1667.21</v>
      </c>
      <c r="O50" s="303">
        <v>0</v>
      </c>
      <c r="P50" s="328">
        <f>E50*0.115</f>
        <v>1196</v>
      </c>
      <c r="Q50" s="303">
        <f>SUM(N50:P50)+G50</f>
        <v>2863.21</v>
      </c>
      <c r="R50" s="358">
        <f>K50-Q50</f>
        <v>7536.79</v>
      </c>
      <c r="S50" s="330">
        <f>+'[1]IMSS INCREMENTO 4%'!$AR$30/2</f>
        <v>481.74497987214613</v>
      </c>
      <c r="T50" s="330">
        <f>+E50*17.5%+312</f>
        <v>2132</v>
      </c>
      <c r="U50" s="331">
        <f t="shared" ref="U50" si="33">+E50*2%</f>
        <v>208</v>
      </c>
      <c r="V50" s="332">
        <f t="shared" ref="V50" si="34">SUM(S50:U50)</f>
        <v>2821.7449798721464</v>
      </c>
    </row>
    <row r="51" spans="2:22" ht="18.75" x14ac:dyDescent="0.3">
      <c r="B51" s="340" t="s">
        <v>26</v>
      </c>
      <c r="E51" s="336">
        <f>E50</f>
        <v>10400</v>
      </c>
      <c r="F51" s="336"/>
      <c r="G51" s="336">
        <f>+G50</f>
        <v>0</v>
      </c>
      <c r="H51" s="336"/>
      <c r="I51" s="336">
        <f>I50</f>
        <v>0</v>
      </c>
      <c r="J51" s="336">
        <f>J50</f>
        <v>0</v>
      </c>
      <c r="K51" s="336">
        <f>K50</f>
        <v>10400</v>
      </c>
      <c r="L51" s="336">
        <f t="shared" ref="L51:V51" si="35">L50</f>
        <v>0</v>
      </c>
      <c r="M51" s="336">
        <f t="shared" si="35"/>
        <v>1667.21</v>
      </c>
      <c r="N51" s="336">
        <f t="shared" si="35"/>
        <v>1667.21</v>
      </c>
      <c r="O51" s="336">
        <f t="shared" si="35"/>
        <v>0</v>
      </c>
      <c r="P51" s="336">
        <f>P50</f>
        <v>1196</v>
      </c>
      <c r="Q51" s="336">
        <f t="shared" si="35"/>
        <v>2863.21</v>
      </c>
      <c r="R51" s="337">
        <f>R50</f>
        <v>7536.79</v>
      </c>
      <c r="S51" s="336">
        <f t="shared" si="35"/>
        <v>481.74497987214613</v>
      </c>
      <c r="T51" s="336">
        <f t="shared" si="35"/>
        <v>2132</v>
      </c>
      <c r="U51" s="336">
        <f t="shared" si="35"/>
        <v>208</v>
      </c>
      <c r="V51" s="336">
        <f t="shared" si="35"/>
        <v>2821.7449798721464</v>
      </c>
    </row>
    <row r="52" spans="2:22" ht="12" customHeight="1" x14ac:dyDescent="0.3">
      <c r="B52" s="340"/>
      <c r="E52" s="303"/>
      <c r="F52" s="303"/>
      <c r="G52" s="303"/>
      <c r="H52" s="303"/>
      <c r="I52" s="303"/>
      <c r="J52" s="303"/>
      <c r="K52" s="347"/>
      <c r="L52" s="347"/>
      <c r="M52" s="347"/>
      <c r="N52" s="347"/>
      <c r="O52" s="347"/>
      <c r="P52" s="347"/>
      <c r="Q52" s="347"/>
      <c r="R52" s="348"/>
      <c r="S52" s="349"/>
      <c r="T52" s="349"/>
      <c r="U52" s="349"/>
      <c r="V52" s="349"/>
    </row>
    <row r="53" spans="2:22" ht="18.75" hidden="1" x14ac:dyDescent="0.3">
      <c r="R53" s="350"/>
    </row>
    <row r="54" spans="2:22" ht="18.75" x14ac:dyDescent="0.3">
      <c r="C54" s="351" t="s">
        <v>105</v>
      </c>
      <c r="E54" s="352">
        <f>E9+E20+E27+E41+E47+E51</f>
        <v>176937.15</v>
      </c>
      <c r="F54" s="352"/>
      <c r="G54" s="352">
        <f>G9+G20+G27+G41+G47+G51</f>
        <v>17954.62</v>
      </c>
      <c r="H54" s="352"/>
      <c r="I54" s="352">
        <f t="shared" ref="I54:V54" si="36">I9+I20+I27+I41+I47+I51</f>
        <v>49.280000000000008</v>
      </c>
      <c r="J54" s="352">
        <f t="shared" si="36"/>
        <v>0</v>
      </c>
      <c r="K54" s="352">
        <f t="shared" si="36"/>
        <v>176887.87</v>
      </c>
      <c r="L54" s="352">
        <f t="shared" si="36"/>
        <v>274.08999999999997</v>
      </c>
      <c r="M54" s="352">
        <f t="shared" si="36"/>
        <v>22102.894999999997</v>
      </c>
      <c r="N54" s="352">
        <f t="shared" si="36"/>
        <v>21973.204999999994</v>
      </c>
      <c r="O54" s="352">
        <f t="shared" si="36"/>
        <v>0</v>
      </c>
      <c r="P54" s="352">
        <f t="shared" si="36"/>
        <v>17886.76225</v>
      </c>
      <c r="Q54" s="352">
        <f t="shared" si="36"/>
        <v>57814.587249999997</v>
      </c>
      <c r="R54" s="353">
        <f t="shared" si="36"/>
        <v>119073.28275</v>
      </c>
      <c r="S54" s="352">
        <f t="shared" si="36"/>
        <v>10471.660841186047</v>
      </c>
      <c r="T54" s="352">
        <f t="shared" si="36"/>
        <v>31885.111249999998</v>
      </c>
      <c r="U54" s="352">
        <f t="shared" si="36"/>
        <v>3110.7429999999995</v>
      </c>
      <c r="V54" s="354">
        <f t="shared" si="36"/>
        <v>45467.51509118604</v>
      </c>
    </row>
    <row r="63" spans="2:22" ht="16.5" thickBot="1" x14ac:dyDescent="0.3">
      <c r="E63" s="384"/>
      <c r="F63" s="384"/>
      <c r="G63" s="355"/>
      <c r="H63" s="355"/>
      <c r="P63" s="385"/>
      <c r="Q63" s="385"/>
    </row>
    <row r="64" spans="2:22" ht="15" x14ac:dyDescent="0.25">
      <c r="E64" s="386" t="s">
        <v>177</v>
      </c>
      <c r="F64" s="386"/>
      <c r="G64" s="356"/>
      <c r="H64" s="356"/>
      <c r="P64" s="357"/>
      <c r="Q64" s="357"/>
      <c r="R64" s="387" t="s">
        <v>157</v>
      </c>
      <c r="S64" s="387"/>
      <c r="T64" s="355"/>
    </row>
    <row r="68" spans="3:3" x14ac:dyDescent="0.25">
      <c r="C68" s="302" t="s">
        <v>174</v>
      </c>
    </row>
  </sheetData>
  <mergeCells count="5">
    <mergeCell ref="B4:V4"/>
    <mergeCell ref="E63:F63"/>
    <mergeCell ref="P63:Q63"/>
    <mergeCell ref="E64:F64"/>
    <mergeCell ref="R64:S64"/>
  </mergeCells>
  <pageMargins left="0.51181102362204722" right="0.51181102362204722" top="0.15748031496062992" bottom="0.35433070866141736" header="0.31496062992125984" footer="0.31496062992125984"/>
  <pageSetup scale="42" fitToHeight="0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W68"/>
  <sheetViews>
    <sheetView topLeftCell="A20" zoomScale="85" zoomScaleNormal="85" workbookViewId="0">
      <selection activeCell="R46" sqref="R46"/>
    </sheetView>
  </sheetViews>
  <sheetFormatPr baseColWidth="10" defaultRowHeight="15.75" x14ac:dyDescent="0.25"/>
  <cols>
    <col min="1" max="1" width="0.7109375" style="302" customWidth="1"/>
    <col min="2" max="2" width="17.140625" style="302" customWidth="1"/>
    <col min="3" max="3" width="36.5703125" style="302" customWidth="1"/>
    <col min="4" max="4" width="28" style="302" customWidth="1"/>
    <col min="5" max="5" width="18.42578125" style="302" customWidth="1"/>
    <col min="6" max="6" width="12.7109375" style="302" customWidth="1"/>
    <col min="7" max="7" width="12.28515625" style="302" customWidth="1"/>
    <col min="8" max="8" width="14.140625" style="302" hidden="1" customWidth="1"/>
    <col min="9" max="9" width="13.85546875" style="302" customWidth="1"/>
    <col min="10" max="10" width="11.42578125" style="302" hidden="1" customWidth="1"/>
    <col min="11" max="11" width="15.85546875" style="302" customWidth="1"/>
    <col min="12" max="12" width="9.42578125" style="302" customWidth="1"/>
    <col min="13" max="13" width="14.42578125" style="302" hidden="1" customWidth="1"/>
    <col min="14" max="14" width="14.42578125" style="302" customWidth="1"/>
    <col min="15" max="15" width="11.42578125" style="302" hidden="1" customWidth="1"/>
    <col min="16" max="16" width="12.85546875" style="302" customWidth="1"/>
    <col min="17" max="17" width="16.5703125" style="302" customWidth="1"/>
    <col min="18" max="18" width="18.28515625" style="338" customWidth="1"/>
    <col min="19" max="20" width="16.140625" style="302" customWidth="1"/>
    <col min="21" max="21" width="14.85546875" style="302" customWidth="1"/>
    <col min="22" max="22" width="17" style="302" customWidth="1"/>
    <col min="23" max="16384" width="11.42578125" style="302"/>
  </cols>
  <sheetData>
    <row r="3" spans="2:23" x14ac:dyDescent="0.25"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4"/>
    </row>
    <row r="4" spans="2:23" ht="16.5" customHeight="1" x14ac:dyDescent="0.25">
      <c r="B4" s="380" t="s">
        <v>257</v>
      </c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</row>
    <row r="5" spans="2:23" s="320" customFormat="1" ht="56.25" x14ac:dyDescent="0.25">
      <c r="B5" s="305" t="s">
        <v>9</v>
      </c>
      <c r="C5" s="306" t="s">
        <v>10</v>
      </c>
      <c r="D5" s="307" t="s">
        <v>0</v>
      </c>
      <c r="E5" s="308" t="s">
        <v>11</v>
      </c>
      <c r="F5" s="309" t="s">
        <v>150</v>
      </c>
      <c r="G5" s="310" t="s">
        <v>180</v>
      </c>
      <c r="H5" s="311" t="s">
        <v>182</v>
      </c>
      <c r="I5" s="312" t="s">
        <v>169</v>
      </c>
      <c r="J5" s="307" t="s">
        <v>170</v>
      </c>
      <c r="K5" s="307" t="s">
        <v>12</v>
      </c>
      <c r="L5" s="313" t="s">
        <v>107</v>
      </c>
      <c r="M5" s="309" t="s">
        <v>143</v>
      </c>
      <c r="N5" s="309" t="s">
        <v>13</v>
      </c>
      <c r="O5" s="314" t="s">
        <v>171</v>
      </c>
      <c r="P5" s="315" t="s">
        <v>16</v>
      </c>
      <c r="Q5" s="316" t="s">
        <v>17</v>
      </c>
      <c r="R5" s="317" t="s">
        <v>72</v>
      </c>
      <c r="S5" s="313" t="s">
        <v>8</v>
      </c>
      <c r="T5" s="313" t="s">
        <v>218</v>
      </c>
      <c r="U5" s="318" t="s">
        <v>18</v>
      </c>
      <c r="V5" s="318" t="s">
        <v>73</v>
      </c>
      <c r="W5" s="319"/>
    </row>
    <row r="6" spans="2:23" x14ac:dyDescent="0.25">
      <c r="B6" s="321" t="s">
        <v>19</v>
      </c>
      <c r="C6" s="322" t="s">
        <v>20</v>
      </c>
      <c r="D6" s="322"/>
      <c r="E6" s="323"/>
      <c r="F6" s="303"/>
      <c r="G6" s="324"/>
      <c r="H6" s="303"/>
      <c r="I6" s="323"/>
      <c r="J6" s="323"/>
      <c r="K6" s="323"/>
      <c r="L6" s="303"/>
      <c r="M6" s="303"/>
      <c r="N6" s="303"/>
      <c r="O6" s="323"/>
      <c r="P6" s="303"/>
      <c r="Q6" s="323"/>
      <c r="R6" s="304"/>
    </row>
    <row r="7" spans="2:23" ht="18.75" x14ac:dyDescent="0.3">
      <c r="B7" s="302" t="s">
        <v>21</v>
      </c>
      <c r="C7" s="325" t="s">
        <v>22</v>
      </c>
      <c r="D7" s="302" t="s">
        <v>25</v>
      </c>
      <c r="E7" s="303">
        <v>17633.150000000001</v>
      </c>
      <c r="F7" s="326">
        <v>15</v>
      </c>
      <c r="G7" s="361">
        <v>2700</v>
      </c>
      <c r="H7" s="303"/>
      <c r="I7" s="303"/>
      <c r="J7" s="303"/>
      <c r="K7" s="303">
        <f>E7-I7</f>
        <v>17633.150000000001</v>
      </c>
      <c r="L7" s="303">
        <v>0</v>
      </c>
      <c r="M7" s="303">
        <v>3450.395</v>
      </c>
      <c r="N7" s="303">
        <f>M7-L7</f>
        <v>3450.395</v>
      </c>
      <c r="O7" s="303">
        <v>0</v>
      </c>
      <c r="P7" s="328">
        <f>E7*0.115-0.01</f>
        <v>2027.8022500000002</v>
      </c>
      <c r="Q7" s="303">
        <f>SUM(N7:P7)+G7</f>
        <v>8178.1972500000002</v>
      </c>
      <c r="R7" s="358">
        <f>K7-Q7</f>
        <v>9454.9527500000004</v>
      </c>
      <c r="S7" s="330">
        <f>+'[1]IMSS INCREMENTO 4%'!$AR$2/2</f>
        <v>684.75956133216448</v>
      </c>
      <c r="T7" s="330">
        <f>+E7*17.5%+528.99</f>
        <v>3614.7912500000002</v>
      </c>
      <c r="U7" s="331">
        <f>+E7*2%</f>
        <v>352.66300000000001</v>
      </c>
      <c r="V7" s="332">
        <f>SUM(S7:U7)</f>
        <v>4652.2138113321653</v>
      </c>
    </row>
    <row r="8" spans="2:23" ht="18.75" x14ac:dyDescent="0.3">
      <c r="B8" s="302" t="s">
        <v>23</v>
      </c>
      <c r="C8" s="325" t="s">
        <v>24</v>
      </c>
      <c r="D8" s="302" t="s">
        <v>3</v>
      </c>
      <c r="E8" s="303">
        <v>5044</v>
      </c>
      <c r="F8" s="326">
        <v>15</v>
      </c>
      <c r="G8" s="361">
        <v>809</v>
      </c>
      <c r="H8" s="303"/>
      <c r="I8" s="363">
        <v>1.6</v>
      </c>
      <c r="J8" s="303"/>
      <c r="K8" s="303">
        <f>E8-I8</f>
        <v>5042.3999999999996</v>
      </c>
      <c r="L8" s="303">
        <v>0</v>
      </c>
      <c r="M8" s="303">
        <v>526.46</v>
      </c>
      <c r="N8" s="303">
        <f>M8-L8</f>
        <v>526.46</v>
      </c>
      <c r="O8" s="303">
        <v>0</v>
      </c>
      <c r="P8" s="328">
        <f>E8*0.115</f>
        <v>580.06000000000006</v>
      </c>
      <c r="Q8" s="303">
        <f>SUM(N8:P8)+G8</f>
        <v>1915.52</v>
      </c>
      <c r="R8" s="358">
        <f>K8-Q8</f>
        <v>3126.8799999999997</v>
      </c>
      <c r="S8" s="330">
        <f>+'[1]IMSS INCREMENTO 4%'!$AR$3/2</f>
        <v>331.41678275799086</v>
      </c>
      <c r="T8" s="330">
        <f>+E8*17.5%+151.32</f>
        <v>1034.02</v>
      </c>
      <c r="U8" s="331">
        <f>+E8*2%</f>
        <v>100.88</v>
      </c>
      <c r="V8" s="332">
        <f>SUM(S8:U8)</f>
        <v>1466.3167827579909</v>
      </c>
    </row>
    <row r="9" spans="2:23" ht="18.75" x14ac:dyDescent="0.3">
      <c r="B9" s="333" t="s">
        <v>26</v>
      </c>
      <c r="C9" s="334"/>
      <c r="D9" s="335"/>
      <c r="E9" s="336">
        <f>SUM(E7:E8)</f>
        <v>22677.15</v>
      </c>
      <c r="F9" s="336"/>
      <c r="G9" s="336">
        <f>+G8+G7</f>
        <v>3509</v>
      </c>
      <c r="H9" s="336"/>
      <c r="I9" s="336">
        <f t="shared" ref="I9:V9" si="0">SUM(I7:I8)</f>
        <v>1.6</v>
      </c>
      <c r="J9" s="336">
        <f t="shared" si="0"/>
        <v>0</v>
      </c>
      <c r="K9" s="336">
        <f t="shared" si="0"/>
        <v>22675.550000000003</v>
      </c>
      <c r="L9" s="336">
        <f t="shared" si="0"/>
        <v>0</v>
      </c>
      <c r="M9" s="336">
        <f t="shared" si="0"/>
        <v>3976.855</v>
      </c>
      <c r="N9" s="336">
        <f t="shared" si="0"/>
        <v>3976.855</v>
      </c>
      <c r="O9" s="336">
        <f t="shared" si="0"/>
        <v>0</v>
      </c>
      <c r="P9" s="336">
        <f>SUM(P7:P8)</f>
        <v>2607.8622500000001</v>
      </c>
      <c r="Q9" s="336">
        <f t="shared" si="0"/>
        <v>10093.71725</v>
      </c>
      <c r="R9" s="337">
        <f>SUM(R7:R8)</f>
        <v>12581.83275</v>
      </c>
      <c r="S9" s="336">
        <f t="shared" si="0"/>
        <v>1016.1763440901553</v>
      </c>
      <c r="T9" s="336">
        <f t="shared" si="0"/>
        <v>4648.8112500000007</v>
      </c>
      <c r="U9" s="336">
        <f t="shared" si="0"/>
        <v>453.54300000000001</v>
      </c>
      <c r="V9" s="336">
        <f t="shared" si="0"/>
        <v>6118.5305940901562</v>
      </c>
    </row>
    <row r="10" spans="2:23" ht="10.5" hidden="1" customHeight="1" x14ac:dyDescent="0.3">
      <c r="C10" s="338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39"/>
    </row>
    <row r="11" spans="2:23" ht="18.75" x14ac:dyDescent="0.3">
      <c r="B11" s="340" t="s">
        <v>27</v>
      </c>
      <c r="C11" s="334" t="s">
        <v>28</v>
      </c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39"/>
    </row>
    <row r="12" spans="2:23" ht="18.75" x14ac:dyDescent="0.3">
      <c r="B12" s="302" t="s">
        <v>32</v>
      </c>
      <c r="C12" s="325" t="s">
        <v>37</v>
      </c>
      <c r="D12" s="302" t="s">
        <v>230</v>
      </c>
      <c r="E12" s="303">
        <v>10400</v>
      </c>
      <c r="F12" s="326">
        <v>15</v>
      </c>
      <c r="G12" s="361">
        <v>3334</v>
      </c>
      <c r="H12" s="303"/>
      <c r="I12" s="303"/>
      <c r="J12" s="303"/>
      <c r="K12" s="303">
        <f t="shared" ref="K12:K18" si="1">E12-I12</f>
        <v>10400</v>
      </c>
      <c r="L12" s="303">
        <v>0</v>
      </c>
      <c r="M12" s="303">
        <v>1667.21</v>
      </c>
      <c r="N12" s="303">
        <f t="shared" ref="N12:N17" si="2">M12-L12</f>
        <v>1667.21</v>
      </c>
      <c r="O12" s="303">
        <v>0</v>
      </c>
      <c r="P12" s="328">
        <f t="shared" ref="P12:P17" si="3">E12*0.115</f>
        <v>1196</v>
      </c>
      <c r="Q12" s="303">
        <f t="shared" ref="Q12:Q19" si="4">SUM(N12:P12)+G12</f>
        <v>6197.21</v>
      </c>
      <c r="R12" s="358">
        <f t="shared" ref="R12:R19" si="5">K12-Q12</f>
        <v>4202.79</v>
      </c>
      <c r="S12" s="330">
        <f>+'[1]IMSS INCREMENTO 4%'!$AR$4/2</f>
        <v>481.74497987214613</v>
      </c>
      <c r="T12" s="330">
        <f>+E12*17.5%+312</f>
        <v>2132</v>
      </c>
      <c r="U12" s="331">
        <f>+E12*2%</f>
        <v>208</v>
      </c>
      <c r="V12" s="332">
        <f t="shared" ref="V12:V19" si="6">SUM(S12:U12)</f>
        <v>2821.7449798721464</v>
      </c>
    </row>
    <row r="13" spans="2:23" ht="18.75" x14ac:dyDescent="0.3">
      <c r="B13" s="302" t="s">
        <v>33</v>
      </c>
      <c r="C13" s="325" t="s">
        <v>38</v>
      </c>
      <c r="D13" s="302" t="s">
        <v>232</v>
      </c>
      <c r="E13" s="303">
        <v>5564</v>
      </c>
      <c r="F13" s="326">
        <v>15</v>
      </c>
      <c r="G13" s="303"/>
      <c r="H13" s="303"/>
      <c r="I13" s="341"/>
      <c r="J13" s="342"/>
      <c r="K13" s="303">
        <f>E13-I13</f>
        <v>5564</v>
      </c>
      <c r="L13" s="303">
        <v>0</v>
      </c>
      <c r="M13" s="303">
        <v>633.91</v>
      </c>
      <c r="N13" s="303">
        <f t="shared" si="2"/>
        <v>633.91</v>
      </c>
      <c r="O13" s="303">
        <v>0</v>
      </c>
      <c r="P13" s="328">
        <f t="shared" si="3"/>
        <v>639.86</v>
      </c>
      <c r="Q13" s="303">
        <f t="shared" si="4"/>
        <v>1273.77</v>
      </c>
      <c r="R13" s="358">
        <f t="shared" si="5"/>
        <v>4290.2299999999996</v>
      </c>
      <c r="S13" s="330">
        <f>+'[1]IMSS INCREMENTO 4%'!$AR$5/2</f>
        <v>346.01175335159814</v>
      </c>
      <c r="T13" s="330">
        <f>+E13*17.5%+166.92</f>
        <v>1140.6199999999999</v>
      </c>
      <c r="U13" s="331">
        <f>+E13*2%</f>
        <v>111.28</v>
      </c>
      <c r="V13" s="332">
        <f t="shared" si="6"/>
        <v>1597.911753351598</v>
      </c>
    </row>
    <row r="14" spans="2:23" ht="18.75" x14ac:dyDescent="0.3">
      <c r="B14" s="302" t="s">
        <v>34</v>
      </c>
      <c r="C14" s="325" t="s">
        <v>178</v>
      </c>
      <c r="D14" s="302" t="s">
        <v>231</v>
      </c>
      <c r="E14" s="303">
        <v>5564</v>
      </c>
      <c r="F14" s="326">
        <v>15</v>
      </c>
      <c r="G14" s="303"/>
      <c r="H14" s="343"/>
      <c r="I14" s="364">
        <v>0.88</v>
      </c>
      <c r="J14" s="342"/>
      <c r="K14" s="303">
        <f>+E14+H14-I14</f>
        <v>5563.12</v>
      </c>
      <c r="L14" s="303">
        <v>0</v>
      </c>
      <c r="M14" s="303">
        <v>633.91</v>
      </c>
      <c r="N14" s="303">
        <f t="shared" si="2"/>
        <v>633.91</v>
      </c>
      <c r="O14" s="303">
        <v>0</v>
      </c>
      <c r="P14" s="328">
        <f t="shared" si="3"/>
        <v>639.86</v>
      </c>
      <c r="Q14" s="303">
        <f>SUM(N14:P14)+G14</f>
        <v>1273.77</v>
      </c>
      <c r="R14" s="358">
        <f>K14-Q14</f>
        <v>4289.3500000000004</v>
      </c>
      <c r="S14" s="330">
        <f>+'[1]IMSS INCREMENTO 4%'!$AR$6/2</f>
        <v>346.01175335159814</v>
      </c>
      <c r="T14" s="330">
        <f>+E14*17.5%+166.92</f>
        <v>1140.6199999999999</v>
      </c>
      <c r="U14" s="331">
        <f t="shared" ref="U14:U19" si="7">+E14*2%</f>
        <v>111.28</v>
      </c>
      <c r="V14" s="332">
        <f t="shared" si="6"/>
        <v>1597.911753351598</v>
      </c>
    </row>
    <row r="15" spans="2:23" ht="18.75" x14ac:dyDescent="0.3">
      <c r="B15" s="302" t="s">
        <v>35</v>
      </c>
      <c r="C15" s="338" t="s">
        <v>111</v>
      </c>
      <c r="D15" s="302" t="s">
        <v>77</v>
      </c>
      <c r="E15" s="303">
        <v>6240</v>
      </c>
      <c r="F15" s="326">
        <v>15</v>
      </c>
      <c r="G15" s="303"/>
      <c r="H15" s="303"/>
      <c r="I15" s="303"/>
      <c r="J15" s="303"/>
      <c r="K15" s="303">
        <f t="shared" si="1"/>
        <v>6240</v>
      </c>
      <c r="L15" s="303">
        <v>0</v>
      </c>
      <c r="M15" s="303">
        <v>778.31</v>
      </c>
      <c r="N15" s="303">
        <f t="shared" si="2"/>
        <v>778.31</v>
      </c>
      <c r="O15" s="303">
        <v>0</v>
      </c>
      <c r="P15" s="328">
        <f>E15*0.115</f>
        <v>717.6</v>
      </c>
      <c r="Q15" s="303">
        <f t="shared" si="4"/>
        <v>1495.9099999999999</v>
      </c>
      <c r="R15" s="358">
        <f t="shared" si="5"/>
        <v>4744.09</v>
      </c>
      <c r="S15" s="330">
        <f>+'[1]IMSS INCREMENTO 4%'!$AR$7/2</f>
        <v>364.98521512328773</v>
      </c>
      <c r="T15" s="330">
        <f>+E15*17.5%+187.2</f>
        <v>1279.2</v>
      </c>
      <c r="U15" s="331">
        <f t="shared" si="7"/>
        <v>124.8</v>
      </c>
      <c r="V15" s="332">
        <f t="shared" si="6"/>
        <v>1768.9852151232878</v>
      </c>
    </row>
    <row r="16" spans="2:23" ht="18.75" x14ac:dyDescent="0.3">
      <c r="B16" s="302" t="s">
        <v>36</v>
      </c>
      <c r="C16" s="338" t="s">
        <v>86</v>
      </c>
      <c r="D16" s="302" t="s">
        <v>233</v>
      </c>
      <c r="E16" s="303">
        <v>4680</v>
      </c>
      <c r="F16" s="326">
        <v>15</v>
      </c>
      <c r="G16" s="361">
        <v>1040</v>
      </c>
      <c r="H16" s="303"/>
      <c r="I16" s="341"/>
      <c r="J16" s="303"/>
      <c r="K16" s="303">
        <f t="shared" si="1"/>
        <v>4680</v>
      </c>
      <c r="L16" s="303">
        <v>0</v>
      </c>
      <c r="M16" s="303">
        <v>461.23</v>
      </c>
      <c r="N16" s="303">
        <f t="shared" si="2"/>
        <v>461.23</v>
      </c>
      <c r="O16" s="303">
        <v>0</v>
      </c>
      <c r="P16" s="328">
        <f t="shared" si="3"/>
        <v>538.20000000000005</v>
      </c>
      <c r="Q16" s="303">
        <f t="shared" si="4"/>
        <v>2039.43</v>
      </c>
      <c r="R16" s="358">
        <f t="shared" si="5"/>
        <v>2640.5699999999997</v>
      </c>
      <c r="S16" s="330">
        <f>+'[1]IMSS INCREMENTO 4%'!$AR$8/2</f>
        <v>321.20030334246576</v>
      </c>
      <c r="T16" s="330">
        <f>+E16*17.5%+140.4</f>
        <v>959.4</v>
      </c>
      <c r="U16" s="331">
        <f t="shared" si="7"/>
        <v>93.600000000000009</v>
      </c>
      <c r="V16" s="332">
        <f t="shared" si="6"/>
        <v>1374.2003033424658</v>
      </c>
    </row>
    <row r="17" spans="2:22" ht="18.75" x14ac:dyDescent="0.3">
      <c r="B17" s="302" t="s">
        <v>115</v>
      </c>
      <c r="C17" s="338" t="s">
        <v>87</v>
      </c>
      <c r="D17" s="302" t="s">
        <v>234</v>
      </c>
      <c r="E17" s="303">
        <v>4680</v>
      </c>
      <c r="F17" s="326">
        <v>15</v>
      </c>
      <c r="G17" s="361">
        <v>1106.6199999999999</v>
      </c>
      <c r="H17" s="303"/>
      <c r="I17" s="303"/>
      <c r="J17" s="303"/>
      <c r="K17" s="303">
        <f t="shared" si="1"/>
        <v>4680</v>
      </c>
      <c r="L17" s="303">
        <v>0</v>
      </c>
      <c r="M17" s="303">
        <v>461.23</v>
      </c>
      <c r="N17" s="303">
        <f t="shared" si="2"/>
        <v>461.23</v>
      </c>
      <c r="O17" s="303">
        <v>0</v>
      </c>
      <c r="P17" s="328">
        <f t="shared" si="3"/>
        <v>538.20000000000005</v>
      </c>
      <c r="Q17" s="303">
        <f t="shared" si="4"/>
        <v>2106.0500000000002</v>
      </c>
      <c r="R17" s="358">
        <f t="shared" si="5"/>
        <v>2573.9499999999998</v>
      </c>
      <c r="S17" s="330">
        <f>+'[1]IMSS INCREMENTO 4%'!$AR$9/2</f>
        <v>321.20030334246576</v>
      </c>
      <c r="T17" s="330">
        <f>+E17*17.5%+140.4</f>
        <v>959.4</v>
      </c>
      <c r="U17" s="331">
        <f t="shared" si="7"/>
        <v>93.600000000000009</v>
      </c>
      <c r="V17" s="332">
        <f t="shared" si="6"/>
        <v>1374.2003033424658</v>
      </c>
    </row>
    <row r="18" spans="2:22" ht="18.75" x14ac:dyDescent="0.3">
      <c r="B18" s="302" t="s">
        <v>116</v>
      </c>
      <c r="C18" s="338" t="s">
        <v>89</v>
      </c>
      <c r="D18" s="302" t="s">
        <v>4</v>
      </c>
      <c r="E18" s="303">
        <v>2808</v>
      </c>
      <c r="F18" s="326">
        <v>15</v>
      </c>
      <c r="G18" s="361">
        <v>624</v>
      </c>
      <c r="H18" s="303"/>
      <c r="I18" s="303"/>
      <c r="J18" s="303"/>
      <c r="K18" s="303">
        <f t="shared" si="1"/>
        <v>2808</v>
      </c>
      <c r="L18" s="303">
        <v>147.32</v>
      </c>
      <c r="M18" s="303">
        <v>200.09</v>
      </c>
      <c r="N18" s="303">
        <f>+M18-L18</f>
        <v>52.77000000000001</v>
      </c>
      <c r="O18" s="303">
        <v>0</v>
      </c>
      <c r="P18" s="328">
        <f>E18*0.115</f>
        <v>322.92</v>
      </c>
      <c r="Q18" s="303">
        <f t="shared" si="4"/>
        <v>999.69</v>
      </c>
      <c r="R18" s="358">
        <f t="shared" si="5"/>
        <v>1808.31</v>
      </c>
      <c r="S18" s="330">
        <f>+'[1]IMSS INCREMENTO 4%'!$AR$10/2</f>
        <v>268.65840920547942</v>
      </c>
      <c r="T18" s="330">
        <f>+E18*17.5%+84.24</f>
        <v>575.64</v>
      </c>
      <c r="U18" s="331">
        <f t="shared" si="7"/>
        <v>56.160000000000004</v>
      </c>
      <c r="V18" s="332">
        <f t="shared" si="6"/>
        <v>900.45840920547937</v>
      </c>
    </row>
    <row r="19" spans="2:22" ht="18.75" x14ac:dyDescent="0.3">
      <c r="B19" s="302" t="s">
        <v>117</v>
      </c>
      <c r="C19" s="338" t="s">
        <v>88</v>
      </c>
      <c r="D19" s="302" t="s">
        <v>235</v>
      </c>
      <c r="E19" s="303">
        <v>3276</v>
      </c>
      <c r="F19" s="326">
        <v>15</v>
      </c>
      <c r="G19" s="361">
        <v>525</v>
      </c>
      <c r="H19" s="303"/>
      <c r="I19" s="303"/>
      <c r="J19" s="303"/>
      <c r="K19" s="303">
        <f>E19-I19</f>
        <v>3276</v>
      </c>
      <c r="L19" s="303">
        <v>126.77</v>
      </c>
      <c r="M19" s="303">
        <v>251</v>
      </c>
      <c r="N19" s="303">
        <f>+M19-L19</f>
        <v>124.23</v>
      </c>
      <c r="O19" s="303">
        <v>0</v>
      </c>
      <c r="P19" s="328">
        <f>E19*0.115</f>
        <v>376.74</v>
      </c>
      <c r="Q19" s="303">
        <f t="shared" si="4"/>
        <v>1025.97</v>
      </c>
      <c r="R19" s="358">
        <f t="shared" si="5"/>
        <v>2250.0299999999997</v>
      </c>
      <c r="S19" s="330">
        <f>+'[1]IMSS INCREMENTO 4%'!$AR$11/2</f>
        <v>281.79388273972603</v>
      </c>
      <c r="T19" s="330">
        <f>+E19*17.5%+98.28</f>
        <v>671.57999999999993</v>
      </c>
      <c r="U19" s="331">
        <f t="shared" si="7"/>
        <v>65.52</v>
      </c>
      <c r="V19" s="332">
        <f t="shared" si="6"/>
        <v>1018.893882739726</v>
      </c>
    </row>
    <row r="20" spans="2:22" ht="18.75" x14ac:dyDescent="0.3">
      <c r="B20" s="340" t="s">
        <v>26</v>
      </c>
      <c r="C20" s="334"/>
      <c r="D20" s="335"/>
      <c r="E20" s="336">
        <f>SUM(E12:E19)</f>
        <v>43212</v>
      </c>
      <c r="F20" s="336"/>
      <c r="G20" s="336">
        <f>+G19+G18+G17+G16+G12</f>
        <v>6629.62</v>
      </c>
      <c r="H20" s="336"/>
      <c r="I20" s="336">
        <f t="shared" ref="I20:V20" si="8">SUM(I12:I19)</f>
        <v>0.88</v>
      </c>
      <c r="J20" s="336">
        <f t="shared" si="8"/>
        <v>0</v>
      </c>
      <c r="K20" s="336">
        <f t="shared" si="8"/>
        <v>43211.119999999995</v>
      </c>
      <c r="L20" s="336">
        <f t="shared" si="8"/>
        <v>274.08999999999997</v>
      </c>
      <c r="M20" s="336">
        <f t="shared" si="8"/>
        <v>5086.8899999999994</v>
      </c>
      <c r="N20" s="336">
        <f t="shared" si="8"/>
        <v>4812.7999999999993</v>
      </c>
      <c r="O20" s="336">
        <f t="shared" si="8"/>
        <v>0</v>
      </c>
      <c r="P20" s="336">
        <f>SUM(P12:P19)</f>
        <v>4969.38</v>
      </c>
      <c r="Q20" s="336">
        <f t="shared" si="8"/>
        <v>16411.8</v>
      </c>
      <c r="R20" s="337">
        <f>SUM(R12:R19)</f>
        <v>26799.32</v>
      </c>
      <c r="S20" s="336">
        <f t="shared" si="8"/>
        <v>2731.6066003287674</v>
      </c>
      <c r="T20" s="336">
        <f t="shared" si="8"/>
        <v>8858.4599999999991</v>
      </c>
      <c r="U20" s="336">
        <f t="shared" si="8"/>
        <v>864.2399999999999</v>
      </c>
      <c r="V20" s="336">
        <f t="shared" si="8"/>
        <v>12454.306600328768</v>
      </c>
    </row>
    <row r="21" spans="2:22" ht="18.75" hidden="1" x14ac:dyDescent="0.3">
      <c r="B21" s="340"/>
      <c r="C21" s="338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39"/>
    </row>
    <row r="22" spans="2:22" ht="18.75" x14ac:dyDescent="0.3">
      <c r="B22" s="340" t="s">
        <v>50</v>
      </c>
      <c r="C22" s="334" t="s">
        <v>160</v>
      </c>
      <c r="E22" s="303"/>
      <c r="F22" s="303"/>
      <c r="G22" s="303"/>
      <c r="H22" s="303"/>
      <c r="I22" s="303"/>
      <c r="J22" s="303"/>
      <c r="K22" s="344"/>
      <c r="L22" s="344"/>
      <c r="M22" s="303"/>
      <c r="N22" s="303"/>
      <c r="O22" s="303"/>
      <c r="P22" s="303"/>
      <c r="Q22" s="303"/>
      <c r="R22" s="339"/>
    </row>
    <row r="23" spans="2:22" ht="18.75" x14ac:dyDescent="0.3">
      <c r="B23" s="302" t="s">
        <v>119</v>
      </c>
      <c r="C23" s="338" t="s">
        <v>224</v>
      </c>
      <c r="D23" s="302" t="s">
        <v>236</v>
      </c>
      <c r="E23" s="303">
        <v>5350</v>
      </c>
      <c r="F23" s="326">
        <v>15</v>
      </c>
      <c r="G23" s="343"/>
      <c r="H23" s="303"/>
      <c r="I23" s="303"/>
      <c r="J23" s="303"/>
      <c r="K23" s="303">
        <f>E23-I23</f>
        <v>5350</v>
      </c>
      <c r="L23" s="303">
        <v>0</v>
      </c>
      <c r="M23" s="343">
        <v>588.20000000000005</v>
      </c>
      <c r="N23" s="303">
        <f>M23-L23</f>
        <v>588.20000000000005</v>
      </c>
      <c r="O23" s="303">
        <v>0</v>
      </c>
      <c r="P23" s="343"/>
      <c r="Q23" s="303">
        <f>SUM(N23:P23)+G23</f>
        <v>588.20000000000005</v>
      </c>
      <c r="R23" s="358">
        <f>K23-Q23</f>
        <v>4761.8</v>
      </c>
      <c r="S23" s="330">
        <f>+'[1]IMSS INCREMENTO 4%'!$AR$13/2</f>
        <v>340.00536160730593</v>
      </c>
      <c r="T23" s="330"/>
      <c r="U23" s="330"/>
      <c r="V23" s="332">
        <f t="shared" ref="V23" si="9">SUM(S23:U23)</f>
        <v>340.00536160730593</v>
      </c>
    </row>
    <row r="24" spans="2:22" ht="18.75" x14ac:dyDescent="0.3">
      <c r="B24" s="302" t="s">
        <v>228</v>
      </c>
      <c r="C24" s="338" t="s">
        <v>229</v>
      </c>
      <c r="D24" s="302" t="s">
        <v>237</v>
      </c>
      <c r="E24" s="303">
        <v>5350</v>
      </c>
      <c r="F24" s="326">
        <v>15</v>
      </c>
      <c r="G24" s="343"/>
      <c r="H24" s="303"/>
      <c r="I24" s="366">
        <v>1.76</v>
      </c>
      <c r="J24" s="303"/>
      <c r="K24" s="303">
        <f>E24-I24</f>
        <v>5348.24</v>
      </c>
      <c r="L24" s="303">
        <v>0</v>
      </c>
      <c r="M24" s="343">
        <v>588.20000000000005</v>
      </c>
      <c r="N24" s="303">
        <f>M24-L24</f>
        <v>588.20000000000005</v>
      </c>
      <c r="O24" s="303">
        <v>0</v>
      </c>
      <c r="P24" s="343"/>
      <c r="Q24" s="303">
        <f>SUM(N24:P24)+G24</f>
        <v>588.20000000000005</v>
      </c>
      <c r="R24" s="358">
        <f>K24-Q24</f>
        <v>4760.04</v>
      </c>
      <c r="S24" s="330">
        <f>+'[1]IMSS INCREMENTO 4%'!$AR$12/2</f>
        <v>340.00536160730593</v>
      </c>
      <c r="T24" s="330"/>
      <c r="U24" s="330"/>
      <c r="V24" s="332">
        <f t="shared" ref="V24" si="10">SUM(S24:U24)</f>
        <v>340.00536160730593</v>
      </c>
    </row>
    <row r="25" spans="2:22" ht="18.75" x14ac:dyDescent="0.3">
      <c r="B25" s="302" t="s">
        <v>120</v>
      </c>
      <c r="C25" s="338" t="s">
        <v>93</v>
      </c>
      <c r="D25" s="302" t="s">
        <v>238</v>
      </c>
      <c r="E25" s="303">
        <v>5564</v>
      </c>
      <c r="F25" s="326">
        <v>15</v>
      </c>
      <c r="G25" s="361">
        <v>1115</v>
      </c>
      <c r="H25" s="303"/>
      <c r="I25" s="346"/>
      <c r="J25" s="303"/>
      <c r="K25" s="303">
        <f>E25-I25</f>
        <v>5564</v>
      </c>
      <c r="L25" s="303">
        <v>0</v>
      </c>
      <c r="M25" s="303">
        <v>633.91</v>
      </c>
      <c r="N25" s="303">
        <f>M25-L25</f>
        <v>633.91</v>
      </c>
      <c r="O25" s="303">
        <v>0</v>
      </c>
      <c r="P25" s="328">
        <f>E25*0.115</f>
        <v>639.86</v>
      </c>
      <c r="Q25" s="303">
        <f>SUM(N25:P25)+G25</f>
        <v>2388.77</v>
      </c>
      <c r="R25" s="358">
        <f>K25-Q25</f>
        <v>3175.23</v>
      </c>
      <c r="S25" s="330">
        <f>+'[1]IMSS INCREMENTO 4%'!$AR$14/2</f>
        <v>346.01175335159814</v>
      </c>
      <c r="T25" s="330">
        <f>+E25*17.5%+166.92</f>
        <v>1140.6199999999999</v>
      </c>
      <c r="U25" s="331">
        <f t="shared" ref="U25:U26" si="11">+E25*2%</f>
        <v>111.28</v>
      </c>
      <c r="V25" s="332">
        <f>SUM(S25:U25)</f>
        <v>1597.911753351598</v>
      </c>
    </row>
    <row r="26" spans="2:22" ht="18.75" x14ac:dyDescent="0.3">
      <c r="B26" s="302" t="s">
        <v>121</v>
      </c>
      <c r="C26" s="338" t="s">
        <v>114</v>
      </c>
      <c r="D26" s="302" t="s">
        <v>237</v>
      </c>
      <c r="E26" s="303">
        <v>5564</v>
      </c>
      <c r="F26" s="326">
        <v>15</v>
      </c>
      <c r="G26" s="361">
        <v>1189</v>
      </c>
      <c r="H26" s="303"/>
      <c r="I26" s="341"/>
      <c r="J26" s="303"/>
      <c r="K26" s="303">
        <f>E26-I26</f>
        <v>5564</v>
      </c>
      <c r="L26" s="303">
        <v>0</v>
      </c>
      <c r="M26" s="303">
        <v>633.91</v>
      </c>
      <c r="N26" s="303">
        <f>M26-L26</f>
        <v>633.91</v>
      </c>
      <c r="O26" s="303">
        <v>0</v>
      </c>
      <c r="P26" s="328">
        <f>E26*0.115</f>
        <v>639.86</v>
      </c>
      <c r="Q26" s="303">
        <f>SUM(N26:P26)+G26</f>
        <v>2462.77</v>
      </c>
      <c r="R26" s="358">
        <f>K26-Q26</f>
        <v>3101.23</v>
      </c>
      <c r="S26" s="330">
        <f>+'[1]IMSS INCREMENTO 4%'!$AR$15/2</f>
        <v>346.01175335159814</v>
      </c>
      <c r="T26" s="330">
        <f>+E26*17.5%+166.92</f>
        <v>1140.6199999999999</v>
      </c>
      <c r="U26" s="331">
        <f t="shared" si="11"/>
        <v>111.28</v>
      </c>
      <c r="V26" s="332">
        <f>SUM(S26:U26)</f>
        <v>1597.911753351598</v>
      </c>
    </row>
    <row r="27" spans="2:22" ht="18.75" x14ac:dyDescent="0.3">
      <c r="B27" s="340" t="s">
        <v>26</v>
      </c>
      <c r="C27" s="334"/>
      <c r="D27" s="335"/>
      <c r="E27" s="336">
        <f>SUM(E23:E26)</f>
        <v>21828</v>
      </c>
      <c r="F27" s="336"/>
      <c r="G27" s="336">
        <f>+G26+G25+G23+G24</f>
        <v>2304</v>
      </c>
      <c r="H27" s="336"/>
      <c r="I27" s="336">
        <f t="shared" ref="I27:N27" si="12">SUM(I23:I26)</f>
        <v>1.76</v>
      </c>
      <c r="J27" s="336">
        <f t="shared" si="12"/>
        <v>0</v>
      </c>
      <c r="K27" s="336">
        <f t="shared" si="12"/>
        <v>21826.239999999998</v>
      </c>
      <c r="L27" s="336">
        <f t="shared" si="12"/>
        <v>0</v>
      </c>
      <c r="M27" s="336">
        <f t="shared" si="12"/>
        <v>2444.2199999999998</v>
      </c>
      <c r="N27" s="336">
        <f t="shared" si="12"/>
        <v>2444.2199999999998</v>
      </c>
      <c r="O27" s="336">
        <f t="shared" ref="O27:V27" si="13">SUM(O23:O26)</f>
        <v>0</v>
      </c>
      <c r="P27" s="336">
        <f t="shared" si="13"/>
        <v>1279.72</v>
      </c>
      <c r="Q27" s="336">
        <f t="shared" si="13"/>
        <v>6027.9400000000005</v>
      </c>
      <c r="R27" s="337">
        <f t="shared" si="13"/>
        <v>15798.3</v>
      </c>
      <c r="S27" s="336">
        <f t="shared" si="13"/>
        <v>1372.0342299178083</v>
      </c>
      <c r="T27" s="336">
        <f t="shared" si="13"/>
        <v>2281.2399999999998</v>
      </c>
      <c r="U27" s="336">
        <f t="shared" si="13"/>
        <v>222.56</v>
      </c>
      <c r="V27" s="336">
        <f t="shared" si="13"/>
        <v>3875.8342299178075</v>
      </c>
    </row>
    <row r="28" spans="2:22" ht="18.75" hidden="1" x14ac:dyDescent="0.3">
      <c r="C28" s="338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39"/>
    </row>
    <row r="29" spans="2:22" ht="18.75" x14ac:dyDescent="0.3">
      <c r="B29" s="340" t="s">
        <v>63</v>
      </c>
      <c r="C29" s="334" t="s">
        <v>51</v>
      </c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39"/>
    </row>
    <row r="30" spans="2:22" ht="18.75" x14ac:dyDescent="0.3">
      <c r="B30" s="302" t="s">
        <v>122</v>
      </c>
      <c r="C30" s="338" t="s">
        <v>97</v>
      </c>
      <c r="D30" s="302" t="s">
        <v>80</v>
      </c>
      <c r="E30" s="303">
        <v>5564</v>
      </c>
      <c r="F30" s="326">
        <v>15</v>
      </c>
      <c r="G30" s="303"/>
      <c r="H30" s="303"/>
      <c r="I30" s="365">
        <v>4.4000000000000004</v>
      </c>
      <c r="J30" s="303"/>
      <c r="K30" s="303">
        <f t="shared" ref="K30:K39" si="14">E30-I30</f>
        <v>5559.6</v>
      </c>
      <c r="L30" s="303">
        <v>0</v>
      </c>
      <c r="M30" s="303">
        <v>633.91</v>
      </c>
      <c r="N30" s="303">
        <f>M30-L30</f>
        <v>633.91</v>
      </c>
      <c r="O30" s="303">
        <v>0</v>
      </c>
      <c r="P30" s="328">
        <f>E30*0.115</f>
        <v>639.86</v>
      </c>
      <c r="Q30" s="303">
        <f t="shared" ref="Q30:Q40" si="15">SUM(N30:P30)+G30</f>
        <v>1273.77</v>
      </c>
      <c r="R30" s="358">
        <f t="shared" ref="R30:R40" si="16">K30-Q30</f>
        <v>4285.83</v>
      </c>
      <c r="S30" s="330">
        <f>+'[1]IMSS INCREMENTO 4%'!$AR$16/2</f>
        <v>346.01175335159814</v>
      </c>
      <c r="T30" s="330">
        <f>+E30*17.5%+166.92</f>
        <v>1140.6199999999999</v>
      </c>
      <c r="U30" s="331">
        <f t="shared" ref="U30:U40" si="17">+E30*2%</f>
        <v>111.28</v>
      </c>
      <c r="V30" s="332">
        <f>SUM(S30:U30)</f>
        <v>1597.911753351598</v>
      </c>
    </row>
    <row r="31" spans="2:22" ht="18.75" x14ac:dyDescent="0.3">
      <c r="B31" s="302" t="s">
        <v>123</v>
      </c>
      <c r="C31" s="338" t="s">
        <v>100</v>
      </c>
      <c r="D31" s="302" t="s">
        <v>80</v>
      </c>
      <c r="E31" s="303">
        <v>5564</v>
      </c>
      <c r="F31" s="326">
        <v>15</v>
      </c>
      <c r="G31" s="361">
        <v>904</v>
      </c>
      <c r="H31" s="303"/>
      <c r="I31" s="341"/>
      <c r="J31" s="343"/>
      <c r="K31" s="343">
        <f>E31-I31</f>
        <v>5564</v>
      </c>
      <c r="L31" s="343">
        <v>0</v>
      </c>
      <c r="M31" s="303">
        <v>633.91</v>
      </c>
      <c r="N31" s="303">
        <f t="shared" ref="N31:N40" si="18">M31-L31</f>
        <v>633.91</v>
      </c>
      <c r="O31" s="303">
        <v>0</v>
      </c>
      <c r="P31" s="328">
        <f>E31*0.115</f>
        <v>639.86</v>
      </c>
      <c r="Q31" s="303">
        <f>SUM(N31:P31)+G31</f>
        <v>2177.77</v>
      </c>
      <c r="R31" s="358">
        <f t="shared" si="16"/>
        <v>3386.23</v>
      </c>
      <c r="S31" s="330">
        <f>+'[1]IMSS INCREMENTO 4%'!$AR$17/2</f>
        <v>346.01175335159814</v>
      </c>
      <c r="T31" s="330">
        <f>+E31*17.5%+166.92</f>
        <v>1140.6199999999999</v>
      </c>
      <c r="U31" s="331">
        <f t="shared" si="17"/>
        <v>111.28</v>
      </c>
      <c r="V31" s="332">
        <f>SUM(S31:U31)</f>
        <v>1597.911753351598</v>
      </c>
    </row>
    <row r="32" spans="2:22" ht="18.75" x14ac:dyDescent="0.3">
      <c r="B32" s="302" t="s">
        <v>124</v>
      </c>
      <c r="C32" s="338" t="s">
        <v>96</v>
      </c>
      <c r="D32" s="302" t="s">
        <v>239</v>
      </c>
      <c r="E32" s="303">
        <v>6240</v>
      </c>
      <c r="F32" s="326">
        <v>15</v>
      </c>
      <c r="G32" s="303"/>
      <c r="H32" s="303"/>
      <c r="I32" s="341"/>
      <c r="J32" s="303"/>
      <c r="K32" s="303">
        <f>E32-I32</f>
        <v>6240</v>
      </c>
      <c r="L32" s="303">
        <v>0</v>
      </c>
      <c r="M32" s="303">
        <v>778.31</v>
      </c>
      <c r="N32" s="303">
        <f>M32-L32</f>
        <v>778.31</v>
      </c>
      <c r="O32" s="303">
        <v>0</v>
      </c>
      <c r="P32" s="328">
        <f>E32*0.115</f>
        <v>717.6</v>
      </c>
      <c r="Q32" s="303">
        <f t="shared" si="15"/>
        <v>1495.9099999999999</v>
      </c>
      <c r="R32" s="358">
        <f t="shared" si="16"/>
        <v>4744.09</v>
      </c>
      <c r="S32" s="330">
        <f>+'[1]IMSS INCREMENTO 4%'!$AR$18/2</f>
        <v>364.98521512328773</v>
      </c>
      <c r="T32" s="330">
        <f>+E32*17.5%+187.2</f>
        <v>1279.2</v>
      </c>
      <c r="U32" s="331">
        <f t="shared" si="17"/>
        <v>124.8</v>
      </c>
      <c r="V32" s="332">
        <f t="shared" ref="V32:V40" si="19">SUM(S32:U32)</f>
        <v>1768.9852151232878</v>
      </c>
    </row>
    <row r="33" spans="2:22" ht="18.75" x14ac:dyDescent="0.3">
      <c r="B33" s="302" t="s">
        <v>133</v>
      </c>
      <c r="C33" s="338" t="s">
        <v>225</v>
      </c>
      <c r="D33" s="302" t="s">
        <v>243</v>
      </c>
      <c r="E33" s="303">
        <v>5350</v>
      </c>
      <c r="F33" s="326">
        <v>15</v>
      </c>
      <c r="G33" s="303"/>
      <c r="H33" s="303"/>
      <c r="I33" s="303"/>
      <c r="J33" s="343"/>
      <c r="K33" s="343">
        <f t="shared" si="14"/>
        <v>5350</v>
      </c>
      <c r="L33" s="343">
        <v>0</v>
      </c>
      <c r="M33" s="343">
        <v>588.20000000000005</v>
      </c>
      <c r="N33" s="343">
        <f t="shared" si="18"/>
        <v>588.20000000000005</v>
      </c>
      <c r="O33" s="303">
        <v>0</v>
      </c>
      <c r="P33" s="343"/>
      <c r="Q33" s="303">
        <f>SUM(N33:P33)+G33</f>
        <v>588.20000000000005</v>
      </c>
      <c r="R33" s="358">
        <f>K33-Q33</f>
        <v>4761.8</v>
      </c>
      <c r="S33" s="330">
        <f>+'[1]IMSS INCREMENTO 4%'!$AR$27/2</f>
        <v>340.00536160730593</v>
      </c>
      <c r="T33" s="330"/>
      <c r="U33" s="330"/>
      <c r="V33" s="332">
        <f t="shared" ref="V33" si="20">SUM(S33:U33)</f>
        <v>340.00536160730593</v>
      </c>
    </row>
    <row r="34" spans="2:22" ht="18.75" x14ac:dyDescent="0.3">
      <c r="B34" s="302" t="s">
        <v>126</v>
      </c>
      <c r="C34" s="338" t="s">
        <v>94</v>
      </c>
      <c r="D34" s="302" t="s">
        <v>240</v>
      </c>
      <c r="E34" s="303">
        <v>5564</v>
      </c>
      <c r="F34" s="326">
        <v>15</v>
      </c>
      <c r="G34" s="361">
        <v>595</v>
      </c>
      <c r="H34" s="303"/>
      <c r="I34" s="341"/>
      <c r="J34" s="343"/>
      <c r="K34" s="343">
        <f>E34-I34</f>
        <v>5564</v>
      </c>
      <c r="L34" s="343">
        <v>0</v>
      </c>
      <c r="M34" s="303">
        <v>633.91</v>
      </c>
      <c r="N34" s="303">
        <f t="shared" si="18"/>
        <v>633.91</v>
      </c>
      <c r="O34" s="303">
        <v>0</v>
      </c>
      <c r="P34" s="328">
        <f t="shared" ref="P34:P40" si="21">E34*0.115</f>
        <v>639.86</v>
      </c>
      <c r="Q34" s="303">
        <f t="shared" si="15"/>
        <v>1868.77</v>
      </c>
      <c r="R34" s="358">
        <f t="shared" si="16"/>
        <v>3695.23</v>
      </c>
      <c r="S34" s="330">
        <f>+'[1]IMSS INCREMENTO 4%'!$AR$20/2</f>
        <v>346.01175335159814</v>
      </c>
      <c r="T34" s="330">
        <f t="shared" ref="T34:T40" si="22">+E34*17.5%+166.92</f>
        <v>1140.6199999999999</v>
      </c>
      <c r="U34" s="331">
        <f t="shared" si="17"/>
        <v>111.28</v>
      </c>
      <c r="V34" s="332">
        <f t="shared" si="19"/>
        <v>1597.911753351598</v>
      </c>
    </row>
    <row r="35" spans="2:22" ht="18.75" x14ac:dyDescent="0.3">
      <c r="B35" s="302" t="s">
        <v>127</v>
      </c>
      <c r="C35" s="338" t="s">
        <v>98</v>
      </c>
      <c r="D35" s="302" t="s">
        <v>240</v>
      </c>
      <c r="E35" s="303">
        <v>5564</v>
      </c>
      <c r="F35" s="326">
        <v>15</v>
      </c>
      <c r="G35" s="303"/>
      <c r="H35" s="343"/>
      <c r="I35" s="366">
        <v>1.76</v>
      </c>
      <c r="J35" s="343"/>
      <c r="K35" s="343">
        <f>E35-I35</f>
        <v>5562.24</v>
      </c>
      <c r="L35" s="343">
        <v>0</v>
      </c>
      <c r="M35" s="303">
        <v>633.91</v>
      </c>
      <c r="N35" s="343">
        <f t="shared" si="18"/>
        <v>633.91</v>
      </c>
      <c r="O35" s="303">
        <v>0</v>
      </c>
      <c r="P35" s="328">
        <f>E35*0.115</f>
        <v>639.86</v>
      </c>
      <c r="Q35" s="303">
        <f t="shared" si="15"/>
        <v>1273.77</v>
      </c>
      <c r="R35" s="358">
        <f t="shared" si="16"/>
        <v>4288.4699999999993</v>
      </c>
      <c r="S35" s="330">
        <f>+'[1]IMSS INCREMENTO 4%'!$AR$21/2</f>
        <v>346.01175335159814</v>
      </c>
      <c r="T35" s="330">
        <f t="shared" si="22"/>
        <v>1140.6199999999999</v>
      </c>
      <c r="U35" s="331">
        <f t="shared" si="17"/>
        <v>111.28</v>
      </c>
      <c r="V35" s="332">
        <f t="shared" si="19"/>
        <v>1597.911753351598</v>
      </c>
    </row>
    <row r="36" spans="2:22" ht="18.75" x14ac:dyDescent="0.3">
      <c r="B36" s="302" t="s">
        <v>128</v>
      </c>
      <c r="C36" s="338" t="s">
        <v>101</v>
      </c>
      <c r="D36" s="302" t="s">
        <v>240</v>
      </c>
      <c r="E36" s="303">
        <v>5564</v>
      </c>
      <c r="F36" s="326">
        <v>15</v>
      </c>
      <c r="G36" s="303"/>
      <c r="H36" s="303"/>
      <c r="I36" s="364">
        <v>5.28</v>
      </c>
      <c r="J36" s="343"/>
      <c r="K36" s="343">
        <f>E36-I36</f>
        <v>5558.72</v>
      </c>
      <c r="L36" s="343">
        <v>0</v>
      </c>
      <c r="M36" s="303">
        <v>633.91</v>
      </c>
      <c r="N36" s="303">
        <f>M36-L36</f>
        <v>633.91</v>
      </c>
      <c r="O36" s="303">
        <v>0</v>
      </c>
      <c r="P36" s="328">
        <f t="shared" si="21"/>
        <v>639.86</v>
      </c>
      <c r="Q36" s="303">
        <f t="shared" si="15"/>
        <v>1273.77</v>
      </c>
      <c r="R36" s="358">
        <f t="shared" si="16"/>
        <v>4284.9500000000007</v>
      </c>
      <c r="S36" s="330">
        <f>+'[1]IMSS INCREMENTO 4%'!$AR$22/2</f>
        <v>346.01175335159814</v>
      </c>
      <c r="T36" s="330">
        <f t="shared" si="22"/>
        <v>1140.6199999999999</v>
      </c>
      <c r="U36" s="331">
        <f t="shared" si="17"/>
        <v>111.28</v>
      </c>
      <c r="V36" s="332">
        <f t="shared" si="19"/>
        <v>1597.911753351598</v>
      </c>
    </row>
    <row r="37" spans="2:22" ht="18.75" x14ac:dyDescent="0.3">
      <c r="B37" s="302" t="s">
        <v>129</v>
      </c>
      <c r="C37" s="338" t="s">
        <v>95</v>
      </c>
      <c r="D37" s="302" t="s">
        <v>241</v>
      </c>
      <c r="E37" s="303">
        <v>5564</v>
      </c>
      <c r="F37" s="326">
        <v>15</v>
      </c>
      <c r="G37" s="343"/>
      <c r="H37" s="303"/>
      <c r="I37" s="341"/>
      <c r="J37" s="303"/>
      <c r="K37" s="303">
        <f t="shared" si="14"/>
        <v>5564</v>
      </c>
      <c r="L37" s="303">
        <v>0</v>
      </c>
      <c r="M37" s="303">
        <v>633.91</v>
      </c>
      <c r="N37" s="303">
        <f t="shared" si="18"/>
        <v>633.91</v>
      </c>
      <c r="O37" s="303">
        <v>0</v>
      </c>
      <c r="P37" s="328">
        <f t="shared" si="21"/>
        <v>639.86</v>
      </c>
      <c r="Q37" s="303">
        <f t="shared" si="15"/>
        <v>1273.77</v>
      </c>
      <c r="R37" s="358">
        <f t="shared" si="16"/>
        <v>4290.2299999999996</v>
      </c>
      <c r="S37" s="330">
        <f>+'[1]IMSS INCREMENTO 4%'!$AR$23/2</f>
        <v>346.01175335159814</v>
      </c>
      <c r="T37" s="330">
        <f t="shared" si="22"/>
        <v>1140.6199999999999</v>
      </c>
      <c r="U37" s="331">
        <f t="shared" si="17"/>
        <v>111.28</v>
      </c>
      <c r="V37" s="332">
        <f t="shared" si="19"/>
        <v>1597.911753351598</v>
      </c>
    </row>
    <row r="38" spans="2:22" ht="18.75" x14ac:dyDescent="0.3">
      <c r="B38" s="302" t="s">
        <v>130</v>
      </c>
      <c r="C38" s="338" t="s">
        <v>102</v>
      </c>
      <c r="D38" s="302" t="s">
        <v>241</v>
      </c>
      <c r="E38" s="303">
        <v>5564</v>
      </c>
      <c r="F38" s="326">
        <v>15</v>
      </c>
      <c r="G38" s="343"/>
      <c r="H38" s="303"/>
      <c r="I38" s="341"/>
      <c r="J38" s="303"/>
      <c r="K38" s="303">
        <f>E38-I38</f>
        <v>5564</v>
      </c>
      <c r="L38" s="303">
        <v>0</v>
      </c>
      <c r="M38" s="303">
        <v>633.91</v>
      </c>
      <c r="N38" s="303">
        <f t="shared" si="18"/>
        <v>633.91</v>
      </c>
      <c r="O38" s="303">
        <v>0</v>
      </c>
      <c r="P38" s="328">
        <f t="shared" si="21"/>
        <v>639.86</v>
      </c>
      <c r="Q38" s="303">
        <f t="shared" si="15"/>
        <v>1273.77</v>
      </c>
      <c r="R38" s="358">
        <f t="shared" si="16"/>
        <v>4290.2299999999996</v>
      </c>
      <c r="S38" s="330">
        <f>+'[1]IMSS INCREMENTO 4%'!$AR$24/2</f>
        <v>346.01175335159814</v>
      </c>
      <c r="T38" s="330">
        <f t="shared" si="22"/>
        <v>1140.6199999999999</v>
      </c>
      <c r="U38" s="331">
        <f t="shared" si="17"/>
        <v>111.28</v>
      </c>
      <c r="V38" s="332">
        <f t="shared" si="19"/>
        <v>1597.911753351598</v>
      </c>
    </row>
    <row r="39" spans="2:22" ht="18.75" x14ac:dyDescent="0.3">
      <c r="B39" s="302" t="s">
        <v>131</v>
      </c>
      <c r="C39" s="338" t="s">
        <v>85</v>
      </c>
      <c r="D39" s="302" t="s">
        <v>242</v>
      </c>
      <c r="E39" s="303">
        <v>5564</v>
      </c>
      <c r="F39" s="326">
        <v>15</v>
      </c>
      <c r="G39" s="361">
        <v>1784</v>
      </c>
      <c r="H39" s="303"/>
      <c r="I39" s="366">
        <v>1.76</v>
      </c>
      <c r="J39" s="303"/>
      <c r="K39" s="303">
        <f t="shared" si="14"/>
        <v>5562.24</v>
      </c>
      <c r="L39" s="303">
        <v>0</v>
      </c>
      <c r="M39" s="303">
        <v>633.91</v>
      </c>
      <c r="N39" s="303">
        <f t="shared" si="18"/>
        <v>633.91</v>
      </c>
      <c r="O39" s="303">
        <v>0</v>
      </c>
      <c r="P39" s="328">
        <f t="shared" si="21"/>
        <v>639.86</v>
      </c>
      <c r="Q39" s="303">
        <f t="shared" si="15"/>
        <v>3057.77</v>
      </c>
      <c r="R39" s="358">
        <f t="shared" si="16"/>
        <v>2504.4699999999998</v>
      </c>
      <c r="S39" s="330">
        <f>+'[1]IMSS INCREMENTO 4%'!$AR$25/2</f>
        <v>346.01175335159814</v>
      </c>
      <c r="T39" s="330">
        <f t="shared" si="22"/>
        <v>1140.6199999999999</v>
      </c>
      <c r="U39" s="331">
        <f t="shared" si="17"/>
        <v>111.28</v>
      </c>
      <c r="V39" s="332">
        <f t="shared" si="19"/>
        <v>1597.911753351598</v>
      </c>
    </row>
    <row r="40" spans="2:22" ht="18.75" x14ac:dyDescent="0.3">
      <c r="B40" s="302" t="s">
        <v>132</v>
      </c>
      <c r="C40" s="338" t="s">
        <v>103</v>
      </c>
      <c r="D40" s="302" t="s">
        <v>242</v>
      </c>
      <c r="E40" s="303">
        <v>5564</v>
      </c>
      <c r="F40" s="326">
        <v>15</v>
      </c>
      <c r="G40" s="361">
        <v>2293</v>
      </c>
      <c r="H40" s="303"/>
      <c r="I40" s="365">
        <v>4.4000000000000004</v>
      </c>
      <c r="J40" s="303"/>
      <c r="K40" s="303">
        <f>E40-I40</f>
        <v>5559.6</v>
      </c>
      <c r="L40" s="303">
        <v>0</v>
      </c>
      <c r="M40" s="303">
        <v>633.91</v>
      </c>
      <c r="N40" s="303">
        <f t="shared" si="18"/>
        <v>633.91</v>
      </c>
      <c r="O40" s="303">
        <v>0</v>
      </c>
      <c r="P40" s="328">
        <f t="shared" si="21"/>
        <v>639.86</v>
      </c>
      <c r="Q40" s="303">
        <f t="shared" si="15"/>
        <v>3566.77</v>
      </c>
      <c r="R40" s="358">
        <f t="shared" si="16"/>
        <v>1992.8300000000004</v>
      </c>
      <c r="S40" s="330">
        <f>+'[1]IMSS INCREMENTO 4%'!$AR$26/2</f>
        <v>346.01175335159814</v>
      </c>
      <c r="T40" s="330">
        <f t="shared" si="22"/>
        <v>1140.6199999999999</v>
      </c>
      <c r="U40" s="331">
        <f t="shared" si="17"/>
        <v>111.28</v>
      </c>
      <c r="V40" s="332">
        <f t="shared" si="19"/>
        <v>1597.911753351598</v>
      </c>
    </row>
    <row r="41" spans="2:22" ht="18.75" x14ac:dyDescent="0.3">
      <c r="B41" s="340" t="s">
        <v>26</v>
      </c>
      <c r="C41" s="334"/>
      <c r="D41" s="335"/>
      <c r="E41" s="336">
        <f>SUM(E30:E40)</f>
        <v>61666</v>
      </c>
      <c r="F41" s="336"/>
      <c r="G41" s="336">
        <f>+G40+G39+G38+G37+G36+G35+G34+G31</f>
        <v>5576</v>
      </c>
      <c r="H41" s="336"/>
      <c r="I41" s="336">
        <f>SUM(I30:I40)</f>
        <v>17.600000000000001</v>
      </c>
      <c r="J41" s="336">
        <f t="shared" ref="J41:V41" si="23">SUM(J30:J40)</f>
        <v>0</v>
      </c>
      <c r="K41" s="336">
        <f>SUM(K30:K40)</f>
        <v>61648.399999999994</v>
      </c>
      <c r="L41" s="336">
        <f>SUM(L30:L40)</f>
        <v>0</v>
      </c>
      <c r="M41" s="336">
        <f t="shared" si="23"/>
        <v>7071.6999999999989</v>
      </c>
      <c r="N41" s="336">
        <f>SUM(N30:N40)</f>
        <v>7071.6999999999989</v>
      </c>
      <c r="O41" s="336">
        <f t="shared" si="23"/>
        <v>0</v>
      </c>
      <c r="P41" s="336">
        <f t="shared" si="23"/>
        <v>6476.3399999999992</v>
      </c>
      <c r="Q41" s="336">
        <f t="shared" si="23"/>
        <v>19124.04</v>
      </c>
      <c r="R41" s="337">
        <f t="shared" si="23"/>
        <v>42524.36</v>
      </c>
      <c r="S41" s="336">
        <f t="shared" si="23"/>
        <v>3819.0963568949769</v>
      </c>
      <c r="T41" s="336">
        <f t="shared" si="23"/>
        <v>11544.779999999999</v>
      </c>
      <c r="U41" s="336">
        <f t="shared" si="23"/>
        <v>1126.32</v>
      </c>
      <c r="V41" s="336">
        <f t="shared" si="23"/>
        <v>16490.196356894976</v>
      </c>
    </row>
    <row r="42" spans="2:22" ht="18.75" hidden="1" x14ac:dyDescent="0.3">
      <c r="C42" s="338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39"/>
    </row>
    <row r="43" spans="2:22" ht="18.75" x14ac:dyDescent="0.3">
      <c r="B43" s="340" t="s">
        <v>140</v>
      </c>
      <c r="C43" s="334" t="s">
        <v>64</v>
      </c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39"/>
    </row>
    <row r="44" spans="2:22" ht="18.75" x14ac:dyDescent="0.3">
      <c r="B44" s="302" t="s">
        <v>125</v>
      </c>
      <c r="C44" s="338" t="s">
        <v>104</v>
      </c>
      <c r="D44" s="302" t="s">
        <v>254</v>
      </c>
      <c r="E44" s="303">
        <v>6240</v>
      </c>
      <c r="F44" s="326">
        <v>15</v>
      </c>
      <c r="G44" s="339"/>
      <c r="H44" s="303"/>
      <c r="I44" s="365">
        <v>4.4000000000000004</v>
      </c>
      <c r="J44" s="343"/>
      <c r="K44" s="343">
        <f t="shared" ref="K44" si="24">E44-I44</f>
        <v>6235.6</v>
      </c>
      <c r="L44" s="343">
        <v>0</v>
      </c>
      <c r="M44" s="303">
        <v>633.91</v>
      </c>
      <c r="N44" s="343">
        <v>778.31</v>
      </c>
      <c r="O44" s="303">
        <v>0</v>
      </c>
      <c r="P44" s="328">
        <f t="shared" ref="P44:P45" si="25">E44*0.115</f>
        <v>717.6</v>
      </c>
      <c r="Q44" s="303">
        <f t="shared" ref="Q44" si="26">SUM(N44:P44)+G44</f>
        <v>1495.9099999999999</v>
      </c>
      <c r="R44" s="358">
        <f t="shared" ref="R44" si="27">K44-Q44</f>
        <v>4739.6900000000005</v>
      </c>
      <c r="S44" s="330">
        <f>+'[1]IMSS INCREMENTO 4%'!$AR$18/2</f>
        <v>364.98521512328773</v>
      </c>
      <c r="T44" s="330">
        <f>+E44*17.5%+187.2</f>
        <v>1279.2</v>
      </c>
      <c r="U44" s="331">
        <f t="shared" ref="U44:U45" si="28">+E44*2%</f>
        <v>124.8</v>
      </c>
      <c r="V44" s="332">
        <f t="shared" ref="V44:V45" si="29">SUM(S44:U44)</f>
        <v>1768.9852151232878</v>
      </c>
    </row>
    <row r="45" spans="2:22" ht="18.75" x14ac:dyDescent="0.3">
      <c r="B45" s="302" t="s">
        <v>152</v>
      </c>
      <c r="C45" s="338" t="s">
        <v>92</v>
      </c>
      <c r="D45" s="302" t="s">
        <v>244</v>
      </c>
      <c r="E45" s="303">
        <v>5564</v>
      </c>
      <c r="F45" s="326">
        <v>15</v>
      </c>
      <c r="G45" s="303"/>
      <c r="H45" s="303"/>
      <c r="I45" s="341"/>
      <c r="J45" s="303"/>
      <c r="K45" s="303">
        <f>E45-I45</f>
        <v>5564</v>
      </c>
      <c r="L45" s="303">
        <v>0</v>
      </c>
      <c r="M45" s="303">
        <v>633.91</v>
      </c>
      <c r="N45" s="303">
        <f t="shared" ref="N45" si="30">M45-L45</f>
        <v>633.91</v>
      </c>
      <c r="O45" s="303">
        <v>0</v>
      </c>
      <c r="P45" s="328">
        <f t="shared" si="25"/>
        <v>639.86</v>
      </c>
      <c r="Q45" s="303">
        <f>SUM(N45:P45)+G45</f>
        <v>1273.77</v>
      </c>
      <c r="R45" s="358">
        <f>K45-Q45</f>
        <v>4290.2299999999996</v>
      </c>
      <c r="S45" s="330">
        <f>+'[1]IMSS INCREMENTO 4%'!$AR$28/2</f>
        <v>346.01175335159814</v>
      </c>
      <c r="T45" s="330">
        <f>+E45*17.5%+166.92</f>
        <v>1140.6199999999999</v>
      </c>
      <c r="U45" s="331">
        <f t="shared" si="28"/>
        <v>111.28</v>
      </c>
      <c r="V45" s="332">
        <f t="shared" si="29"/>
        <v>1597.911753351598</v>
      </c>
    </row>
    <row r="46" spans="2:22" ht="18.75" x14ac:dyDescent="0.3">
      <c r="B46" s="302" t="s">
        <v>220</v>
      </c>
      <c r="C46" s="338" t="s">
        <v>221</v>
      </c>
      <c r="D46" s="302" t="s">
        <v>222</v>
      </c>
      <c r="E46" s="303">
        <v>5350</v>
      </c>
      <c r="F46" s="326">
        <v>15</v>
      </c>
      <c r="G46" s="303"/>
      <c r="H46" s="303"/>
      <c r="I46" s="303"/>
      <c r="J46" s="303"/>
      <c r="K46" s="303">
        <f>E46-I46</f>
        <v>5350</v>
      </c>
      <c r="L46" s="303">
        <v>0</v>
      </c>
      <c r="M46" s="303">
        <v>588.20000000000005</v>
      </c>
      <c r="N46" s="303">
        <v>588.20000000000005</v>
      </c>
      <c r="O46" s="303">
        <v>0</v>
      </c>
      <c r="P46" s="303"/>
      <c r="Q46" s="303">
        <f>SUM(N46:P46)+G46</f>
        <v>588.20000000000005</v>
      </c>
      <c r="R46" s="358">
        <f>K46-Q46</f>
        <v>4761.8</v>
      </c>
      <c r="S46" s="330">
        <f>+'[1]IMSS INCREMENTO 4%'!$AR$29/2</f>
        <v>340.00536160730593</v>
      </c>
      <c r="T46" s="330"/>
      <c r="U46" s="330"/>
      <c r="V46" s="332">
        <f t="shared" ref="V46" si="31">SUM(S46:U46)</f>
        <v>340.00536160730593</v>
      </c>
    </row>
    <row r="47" spans="2:22" ht="18.75" x14ac:dyDescent="0.3">
      <c r="B47" s="340" t="s">
        <v>26</v>
      </c>
      <c r="C47" s="334"/>
      <c r="D47" s="335"/>
      <c r="E47" s="336">
        <f>E44+E45+E46</f>
        <v>17154</v>
      </c>
      <c r="F47" s="336"/>
      <c r="G47" s="336">
        <f t="shared" ref="G47:V47" si="32">G44+G45+G46</f>
        <v>0</v>
      </c>
      <c r="H47" s="336">
        <f t="shared" si="32"/>
        <v>0</v>
      </c>
      <c r="I47" s="336">
        <f>I44+I45+I46</f>
        <v>4.4000000000000004</v>
      </c>
      <c r="J47" s="336">
        <f t="shared" si="32"/>
        <v>0</v>
      </c>
      <c r="K47" s="336">
        <f>K44+K45+K46</f>
        <v>17149.599999999999</v>
      </c>
      <c r="L47" s="336">
        <f t="shared" si="32"/>
        <v>0</v>
      </c>
      <c r="M47" s="336">
        <f t="shared" si="32"/>
        <v>1856.02</v>
      </c>
      <c r="N47" s="336">
        <f>N44+N45+N46</f>
        <v>2000.4199999999998</v>
      </c>
      <c r="O47" s="336">
        <f t="shared" si="32"/>
        <v>0</v>
      </c>
      <c r="P47" s="336">
        <f t="shared" si="32"/>
        <v>1357.46</v>
      </c>
      <c r="Q47" s="336">
        <f t="shared" si="32"/>
        <v>3357.88</v>
      </c>
      <c r="R47" s="337">
        <f t="shared" si="32"/>
        <v>13791.720000000001</v>
      </c>
      <c r="S47" s="336">
        <f t="shared" si="32"/>
        <v>1051.0023300821917</v>
      </c>
      <c r="T47" s="336">
        <f t="shared" si="32"/>
        <v>2419.8199999999997</v>
      </c>
      <c r="U47" s="336">
        <f t="shared" si="32"/>
        <v>236.07999999999998</v>
      </c>
      <c r="V47" s="336">
        <f t="shared" si="32"/>
        <v>3706.9023300821918</v>
      </c>
    </row>
    <row r="48" spans="2:22" ht="18.75" hidden="1" x14ac:dyDescent="0.3">
      <c r="B48" s="340"/>
      <c r="C48" s="338"/>
      <c r="E48" s="303"/>
      <c r="F48" s="303"/>
      <c r="G48" s="303"/>
      <c r="H48" s="303"/>
      <c r="I48" s="303"/>
      <c r="J48" s="303"/>
      <c r="K48" s="347"/>
      <c r="L48" s="347"/>
      <c r="M48" s="347"/>
      <c r="N48" s="347"/>
      <c r="O48" s="347"/>
      <c r="P48" s="347"/>
      <c r="Q48" s="347"/>
      <c r="R48" s="348"/>
      <c r="S48" s="349"/>
      <c r="T48" s="349"/>
      <c r="U48" s="349"/>
      <c r="V48" s="349"/>
    </row>
    <row r="49" spans="2:22" ht="18.75" x14ac:dyDescent="0.3">
      <c r="B49" s="340" t="s">
        <v>161</v>
      </c>
      <c r="C49" s="334" t="s">
        <v>162</v>
      </c>
      <c r="E49" s="303"/>
      <c r="F49" s="303"/>
      <c r="G49" s="303"/>
      <c r="H49" s="303"/>
      <c r="I49" s="303"/>
      <c r="J49" s="303"/>
      <c r="K49" s="347"/>
      <c r="L49" s="347"/>
      <c r="M49" s="347"/>
      <c r="N49" s="347"/>
      <c r="O49" s="347"/>
      <c r="P49" s="347"/>
      <c r="Q49" s="347"/>
      <c r="R49" s="348"/>
      <c r="S49" s="349"/>
      <c r="T49" s="349"/>
      <c r="U49" s="349"/>
      <c r="V49" s="349"/>
    </row>
    <row r="50" spans="2:22" ht="18.75" x14ac:dyDescent="0.3">
      <c r="B50" s="302" t="s">
        <v>163</v>
      </c>
      <c r="C50" s="325" t="s">
        <v>42</v>
      </c>
      <c r="D50" s="302" t="s">
        <v>230</v>
      </c>
      <c r="E50" s="303">
        <v>10400</v>
      </c>
      <c r="F50" s="326">
        <v>15</v>
      </c>
      <c r="G50" s="303"/>
      <c r="H50" s="303"/>
      <c r="I50" s="303"/>
      <c r="J50" s="303"/>
      <c r="K50" s="303">
        <f>E50-I50</f>
        <v>10400</v>
      </c>
      <c r="L50" s="303">
        <v>0</v>
      </c>
      <c r="M50" s="303">
        <v>1667.21</v>
      </c>
      <c r="N50" s="303">
        <f>M50-L50</f>
        <v>1667.21</v>
      </c>
      <c r="O50" s="303">
        <v>0</v>
      </c>
      <c r="P50" s="328">
        <f>E50*0.115</f>
        <v>1196</v>
      </c>
      <c r="Q50" s="303">
        <f>SUM(N50:P50)+G50</f>
        <v>2863.21</v>
      </c>
      <c r="R50" s="358">
        <f>K50-Q50</f>
        <v>7536.79</v>
      </c>
      <c r="S50" s="330">
        <f>+'[1]IMSS INCREMENTO 4%'!$AR$30/2</f>
        <v>481.74497987214613</v>
      </c>
      <c r="T50" s="330">
        <f>+E50*17.5%+312</f>
        <v>2132</v>
      </c>
      <c r="U50" s="331">
        <f t="shared" ref="U50" si="33">+E50*2%</f>
        <v>208</v>
      </c>
      <c r="V50" s="332">
        <f t="shared" ref="V50" si="34">SUM(S50:U50)</f>
        <v>2821.7449798721464</v>
      </c>
    </row>
    <row r="51" spans="2:22" ht="18.75" x14ac:dyDescent="0.3">
      <c r="B51" s="340" t="s">
        <v>26</v>
      </c>
      <c r="E51" s="336">
        <f>E50</f>
        <v>10400</v>
      </c>
      <c r="F51" s="336"/>
      <c r="G51" s="336">
        <f>+G50</f>
        <v>0</v>
      </c>
      <c r="H51" s="336"/>
      <c r="I51" s="336">
        <f>I50</f>
        <v>0</v>
      </c>
      <c r="J51" s="336">
        <f>J50</f>
        <v>0</v>
      </c>
      <c r="K51" s="336">
        <f>K50</f>
        <v>10400</v>
      </c>
      <c r="L51" s="336">
        <f t="shared" ref="L51:V51" si="35">L50</f>
        <v>0</v>
      </c>
      <c r="M51" s="336">
        <f t="shared" si="35"/>
        <v>1667.21</v>
      </c>
      <c r="N51" s="336">
        <f t="shared" si="35"/>
        <v>1667.21</v>
      </c>
      <c r="O51" s="336">
        <f t="shared" si="35"/>
        <v>0</v>
      </c>
      <c r="P51" s="336">
        <f>P50</f>
        <v>1196</v>
      </c>
      <c r="Q51" s="336">
        <f t="shared" si="35"/>
        <v>2863.21</v>
      </c>
      <c r="R51" s="337">
        <f>R50</f>
        <v>7536.79</v>
      </c>
      <c r="S51" s="336">
        <f t="shared" si="35"/>
        <v>481.74497987214613</v>
      </c>
      <c r="T51" s="336">
        <f t="shared" si="35"/>
        <v>2132</v>
      </c>
      <c r="U51" s="336">
        <f t="shared" si="35"/>
        <v>208</v>
      </c>
      <c r="V51" s="336">
        <f t="shared" si="35"/>
        <v>2821.7449798721464</v>
      </c>
    </row>
    <row r="52" spans="2:22" ht="12" customHeight="1" x14ac:dyDescent="0.3">
      <c r="B52" s="340"/>
      <c r="E52" s="303"/>
      <c r="F52" s="303"/>
      <c r="G52" s="303"/>
      <c r="H52" s="303"/>
      <c r="I52" s="303"/>
      <c r="J52" s="303"/>
      <c r="K52" s="347"/>
      <c r="L52" s="347"/>
      <c r="M52" s="347"/>
      <c r="N52" s="347"/>
      <c r="O52" s="347"/>
      <c r="P52" s="347"/>
      <c r="Q52" s="347"/>
      <c r="R52" s="348"/>
      <c r="S52" s="349"/>
      <c r="T52" s="349"/>
      <c r="U52" s="349"/>
      <c r="V52" s="349"/>
    </row>
    <row r="53" spans="2:22" ht="18.75" hidden="1" x14ac:dyDescent="0.3">
      <c r="R53" s="350"/>
    </row>
    <row r="54" spans="2:22" ht="18.75" x14ac:dyDescent="0.3">
      <c r="C54" s="351" t="s">
        <v>105</v>
      </c>
      <c r="E54" s="352">
        <f>E9+E20+E27+E41+E47+E51</f>
        <v>176937.15</v>
      </c>
      <c r="F54" s="352"/>
      <c r="G54" s="362">
        <f>G9+G20+G27+G41+G47+G51</f>
        <v>18018.62</v>
      </c>
      <c r="H54" s="352"/>
      <c r="I54" s="352">
        <f t="shared" ref="I54:V54" si="36">I9+I20+I27+I41+I47+I51</f>
        <v>26.240000000000002</v>
      </c>
      <c r="J54" s="352">
        <f t="shared" si="36"/>
        <v>0</v>
      </c>
      <c r="K54" s="352">
        <f t="shared" si="36"/>
        <v>176910.91</v>
      </c>
      <c r="L54" s="352">
        <f t="shared" si="36"/>
        <v>274.08999999999997</v>
      </c>
      <c r="M54" s="352">
        <f t="shared" si="36"/>
        <v>22102.894999999997</v>
      </c>
      <c r="N54" s="352">
        <f t="shared" si="36"/>
        <v>21973.204999999994</v>
      </c>
      <c r="O54" s="352">
        <f t="shared" si="36"/>
        <v>0</v>
      </c>
      <c r="P54" s="362">
        <f t="shared" si="36"/>
        <v>17886.76225</v>
      </c>
      <c r="Q54" s="352">
        <f t="shared" si="36"/>
        <v>57878.587249999997</v>
      </c>
      <c r="R54" s="353">
        <f t="shared" si="36"/>
        <v>119032.32274999999</v>
      </c>
      <c r="S54" s="352">
        <f t="shared" si="36"/>
        <v>10471.660841186047</v>
      </c>
      <c r="T54" s="352">
        <f t="shared" si="36"/>
        <v>31885.111249999998</v>
      </c>
      <c r="U54" s="362">
        <f t="shared" si="36"/>
        <v>3110.7429999999995</v>
      </c>
      <c r="V54" s="354">
        <f t="shared" si="36"/>
        <v>45467.51509118604</v>
      </c>
    </row>
    <row r="63" spans="2:22" ht="16.5" thickBot="1" x14ac:dyDescent="0.3">
      <c r="E63" s="384"/>
      <c r="F63" s="384"/>
      <c r="G63" s="359"/>
      <c r="H63" s="359"/>
      <c r="P63" s="385"/>
      <c r="Q63" s="385"/>
    </row>
    <row r="64" spans="2:22" ht="15" x14ac:dyDescent="0.25">
      <c r="E64" s="386" t="s">
        <v>177</v>
      </c>
      <c r="F64" s="386"/>
      <c r="G64" s="360"/>
      <c r="H64" s="360"/>
      <c r="P64" s="357"/>
      <c r="Q64" s="357"/>
      <c r="R64" s="387" t="s">
        <v>157</v>
      </c>
      <c r="S64" s="387"/>
      <c r="T64" s="359"/>
    </row>
    <row r="68" spans="3:3" x14ac:dyDescent="0.25">
      <c r="C68" s="302" t="s">
        <v>174</v>
      </c>
    </row>
  </sheetData>
  <mergeCells count="5">
    <mergeCell ref="B4:V4"/>
    <mergeCell ref="E63:F63"/>
    <mergeCell ref="P63:Q63"/>
    <mergeCell ref="E64:F64"/>
    <mergeCell ref="R64:S64"/>
  </mergeCells>
  <pageMargins left="0.51181102362204722" right="0.51181102362204722" top="0.15748031496062992" bottom="0.35433070866141736" header="0.31496062992125984" footer="0.31496062992125984"/>
  <pageSetup scale="42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"/>
  <sheetViews>
    <sheetView workbookViewId="0">
      <pane xSplit="4" ySplit="3" topLeftCell="E10" activePane="bottomRight" state="frozen"/>
      <selection activeCell="F58" sqref="F58"/>
      <selection pane="topRight" activeCell="F58" sqref="F58"/>
      <selection pane="bottomLeft" activeCell="F58" sqref="F58"/>
      <selection pane="bottomRight" activeCell="E5" sqref="E5"/>
    </sheetView>
  </sheetViews>
  <sheetFormatPr baseColWidth="10" defaultRowHeight="15" x14ac:dyDescent="0.25"/>
  <cols>
    <col min="1" max="1" width="11.42578125" customWidth="1"/>
    <col min="3" max="3" width="33.42578125" customWidth="1"/>
    <col min="4" max="4" width="27" customWidth="1"/>
    <col min="5" max="5" width="18.7109375" style="15" customWidth="1"/>
    <col min="6" max="6" width="14.42578125" style="15" customWidth="1"/>
    <col min="7" max="7" width="17.28515625" style="15" customWidth="1"/>
    <col min="8" max="8" width="11.42578125" style="15" customWidth="1"/>
    <col min="9" max="10" width="12.85546875" style="15" customWidth="1"/>
    <col min="11" max="12" width="11.42578125" style="15" customWidth="1"/>
    <col min="13" max="13" width="16" style="15" customWidth="1"/>
    <col min="14" max="14" width="17.42578125" style="15" customWidth="1"/>
    <col min="15" max="15" width="20.140625" style="15" customWidth="1"/>
    <col min="16" max="16" width="17.85546875" customWidth="1"/>
    <col min="17" max="17" width="18.5703125" customWidth="1"/>
    <col min="18" max="18" width="19.28515625" customWidth="1"/>
    <col min="19" max="19" width="11.42578125" customWidth="1"/>
  </cols>
  <sheetData>
    <row r="1" spans="1:19" ht="18.75" x14ac:dyDescent="0.25">
      <c r="C1" s="372" t="s">
        <v>142</v>
      </c>
      <c r="D1" s="372"/>
    </row>
    <row r="2" spans="1:19" ht="15.75" thickBot="1" x14ac:dyDescent="0.3">
      <c r="E2" s="367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9"/>
    </row>
    <row r="3" spans="1:19" ht="35.25" thickTop="1" thickBot="1" x14ac:dyDescent="0.3">
      <c r="B3" s="47" t="s">
        <v>9</v>
      </c>
      <c r="C3" s="48" t="s">
        <v>10</v>
      </c>
      <c r="D3" s="48" t="s">
        <v>0</v>
      </c>
      <c r="E3" s="49" t="s">
        <v>11</v>
      </c>
      <c r="F3" s="50" t="s">
        <v>113</v>
      </c>
      <c r="G3" s="49" t="s">
        <v>12</v>
      </c>
      <c r="H3" s="49" t="s">
        <v>107</v>
      </c>
      <c r="I3" s="49" t="s">
        <v>143</v>
      </c>
      <c r="J3" s="49" t="s">
        <v>13</v>
      </c>
      <c r="K3" s="49" t="s">
        <v>15</v>
      </c>
      <c r="L3" s="49" t="s">
        <v>106</v>
      </c>
      <c r="M3" s="49" t="s">
        <v>16</v>
      </c>
      <c r="N3" s="49" t="s">
        <v>17</v>
      </c>
      <c r="O3" s="49" t="s">
        <v>72</v>
      </c>
      <c r="P3" s="48" t="s">
        <v>8</v>
      </c>
      <c r="Q3" s="48" t="s">
        <v>18</v>
      </c>
      <c r="R3" s="51" t="s">
        <v>73</v>
      </c>
      <c r="S3" s="14"/>
    </row>
    <row r="4" spans="1:19" ht="15.75" thickTop="1" x14ac:dyDescent="0.25">
      <c r="B4" s="2" t="s">
        <v>19</v>
      </c>
      <c r="C4" s="2" t="s">
        <v>20</v>
      </c>
      <c r="D4" s="2"/>
    </row>
    <row r="5" spans="1:19" x14ac:dyDescent="0.25">
      <c r="B5" t="s">
        <v>21</v>
      </c>
      <c r="C5" s="11" t="s">
        <v>22</v>
      </c>
      <c r="D5" t="s">
        <v>25</v>
      </c>
      <c r="E5" s="15">
        <v>16954.95</v>
      </c>
      <c r="F5" s="15">
        <v>0</v>
      </c>
      <c r="G5" s="15">
        <f>E5+F5</f>
        <v>16954.95</v>
      </c>
      <c r="H5" s="15">
        <v>0</v>
      </c>
      <c r="I5" s="15">
        <v>3246.93</v>
      </c>
      <c r="J5" s="15">
        <f>I5-H5</f>
        <v>3246.93</v>
      </c>
      <c r="K5" s="15">
        <v>0</v>
      </c>
      <c r="L5" s="15">
        <v>0</v>
      </c>
      <c r="M5" s="15">
        <f>E5*0.105</f>
        <v>1780.2697499999999</v>
      </c>
      <c r="N5" s="15">
        <f>SUM(J5:M5)</f>
        <v>5027.1997499999998</v>
      </c>
      <c r="O5" s="18">
        <f>G5-N5</f>
        <v>11927.750250000001</v>
      </c>
      <c r="P5" s="10">
        <v>1223.77</v>
      </c>
      <c r="Q5" s="10">
        <v>2797.56</v>
      </c>
      <c r="R5" s="35">
        <f>SUM(P5:Q5)</f>
        <v>4021.33</v>
      </c>
    </row>
    <row r="6" spans="1:19" x14ac:dyDescent="0.25">
      <c r="B6" t="s">
        <v>23</v>
      </c>
      <c r="C6" s="11" t="s">
        <v>24</v>
      </c>
      <c r="D6" t="s">
        <v>3</v>
      </c>
      <c r="E6" s="15">
        <v>4850</v>
      </c>
      <c r="F6" s="15">
        <v>0</v>
      </c>
      <c r="G6" s="15">
        <f>E6+F6</f>
        <v>4850</v>
      </c>
      <c r="H6" s="15">
        <v>0</v>
      </c>
      <c r="I6" s="15">
        <v>491.69</v>
      </c>
      <c r="J6" s="15">
        <f>I6-H6</f>
        <v>491.69</v>
      </c>
      <c r="K6" s="15">
        <v>0</v>
      </c>
      <c r="L6" s="15">
        <v>0</v>
      </c>
      <c r="M6" s="15">
        <f>E6*0.105</f>
        <v>509.25</v>
      </c>
      <c r="N6" s="15">
        <f>SUM(J6:M6)</f>
        <v>1000.94</v>
      </c>
      <c r="O6" s="18">
        <f>G6-N6</f>
        <v>3849.06</v>
      </c>
      <c r="P6" s="10">
        <v>480.14</v>
      </c>
      <c r="Q6" s="10">
        <v>800.25</v>
      </c>
      <c r="R6" s="35">
        <f t="shared" ref="R6:R7" si="0">SUM(P6:Q6)</f>
        <v>1280.3899999999999</v>
      </c>
    </row>
    <row r="7" spans="1:19" x14ac:dyDescent="0.25">
      <c r="B7" t="s">
        <v>41</v>
      </c>
      <c r="C7" s="11" t="s">
        <v>42</v>
      </c>
      <c r="D7" t="s">
        <v>2</v>
      </c>
      <c r="E7" s="15">
        <v>10000</v>
      </c>
      <c r="F7" s="15">
        <v>0</v>
      </c>
      <c r="G7" s="15">
        <f>E7+F7</f>
        <v>10000</v>
      </c>
      <c r="H7" s="15">
        <v>0</v>
      </c>
      <c r="I7" s="15">
        <v>1581.44</v>
      </c>
      <c r="J7" s="15">
        <f>I7-H7</f>
        <v>1581.44</v>
      </c>
      <c r="K7" s="15">
        <v>0</v>
      </c>
      <c r="L7" s="15">
        <v>0</v>
      </c>
      <c r="M7" s="15">
        <f>E7*0.105</f>
        <v>1050</v>
      </c>
      <c r="N7" s="15">
        <f>SUM(J7:M7)</f>
        <v>2631.44</v>
      </c>
      <c r="O7" s="18">
        <f>G7-N7</f>
        <v>7368.5599999999995</v>
      </c>
      <c r="P7" s="10">
        <v>796.52</v>
      </c>
      <c r="Q7" s="10">
        <v>1650</v>
      </c>
      <c r="R7" s="35">
        <f t="shared" si="0"/>
        <v>2446.52</v>
      </c>
    </row>
    <row r="8" spans="1:19" x14ac:dyDescent="0.25">
      <c r="A8" t="s">
        <v>135</v>
      </c>
      <c r="B8" s="7" t="s">
        <v>26</v>
      </c>
      <c r="E8" s="34">
        <f t="shared" ref="E8:R8" si="1">SUM(E5:E7)</f>
        <v>31804.95</v>
      </c>
      <c r="F8" s="34">
        <f t="shared" si="1"/>
        <v>0</v>
      </c>
      <c r="G8" s="34">
        <f t="shared" si="1"/>
        <v>31804.95</v>
      </c>
      <c r="H8" s="34">
        <f t="shared" si="1"/>
        <v>0</v>
      </c>
      <c r="I8" s="34">
        <f t="shared" si="1"/>
        <v>5320.0599999999995</v>
      </c>
      <c r="J8" s="34">
        <f t="shared" si="1"/>
        <v>5320.0599999999995</v>
      </c>
      <c r="K8" s="34">
        <f t="shared" si="1"/>
        <v>0</v>
      </c>
      <c r="L8" s="34">
        <f t="shared" si="1"/>
        <v>0</v>
      </c>
      <c r="M8" s="34">
        <f t="shared" si="1"/>
        <v>3339.5197499999999</v>
      </c>
      <c r="N8" s="34">
        <f t="shared" si="1"/>
        <v>8659.5797500000008</v>
      </c>
      <c r="O8" s="34">
        <f t="shared" si="1"/>
        <v>23145.37025</v>
      </c>
      <c r="P8" s="34">
        <f t="shared" si="1"/>
        <v>2500.4299999999998</v>
      </c>
      <c r="Q8" s="34">
        <f t="shared" si="1"/>
        <v>5247.8099999999995</v>
      </c>
      <c r="R8" s="34">
        <f t="shared" si="1"/>
        <v>7748.24</v>
      </c>
    </row>
    <row r="10" spans="1:19" x14ac:dyDescent="0.25">
      <c r="B10" s="2" t="s">
        <v>27</v>
      </c>
      <c r="C10" s="2" t="s">
        <v>28</v>
      </c>
    </row>
    <row r="11" spans="1:19" x14ac:dyDescent="0.25">
      <c r="B11" t="s">
        <v>32</v>
      </c>
      <c r="C11" s="11" t="s">
        <v>37</v>
      </c>
      <c r="D11" t="s">
        <v>1</v>
      </c>
      <c r="E11" s="15">
        <v>10000</v>
      </c>
      <c r="F11" s="15">
        <v>0</v>
      </c>
      <c r="G11" s="15">
        <f t="shared" ref="G11:G18" si="2">E11+F11</f>
        <v>10000</v>
      </c>
      <c r="H11" s="15">
        <v>0</v>
      </c>
      <c r="I11" s="15">
        <v>1581.44</v>
      </c>
      <c r="J11" s="15">
        <f t="shared" ref="J11:J18" si="3">I11-H11</f>
        <v>1581.44</v>
      </c>
      <c r="K11" s="15">
        <v>0</v>
      </c>
      <c r="L11" s="15">
        <v>0</v>
      </c>
      <c r="M11" s="15">
        <f t="shared" ref="M11:M18" si="4">E11*0.105</f>
        <v>1050</v>
      </c>
      <c r="N11" s="15">
        <f t="shared" ref="N11:N18" si="5">SUM(J11:M11)</f>
        <v>2631.44</v>
      </c>
      <c r="O11" s="18">
        <f t="shared" ref="O11:O18" si="6">G11-N11</f>
        <v>7368.5599999999995</v>
      </c>
      <c r="P11" s="10">
        <v>796.52</v>
      </c>
      <c r="Q11" s="10">
        <v>1650</v>
      </c>
      <c r="R11" s="35">
        <f>P11+Q11</f>
        <v>2446.52</v>
      </c>
    </row>
    <row r="12" spans="1:19" x14ac:dyDescent="0.25">
      <c r="B12" t="s">
        <v>33</v>
      </c>
      <c r="C12" s="11" t="s">
        <v>38</v>
      </c>
      <c r="D12" t="s">
        <v>74</v>
      </c>
      <c r="E12" s="15">
        <v>5350</v>
      </c>
      <c r="F12" s="19">
        <v>0</v>
      </c>
      <c r="G12" s="15">
        <f t="shared" si="2"/>
        <v>5350</v>
      </c>
      <c r="H12" s="15">
        <v>0</v>
      </c>
      <c r="I12" s="15">
        <v>588.20000000000005</v>
      </c>
      <c r="J12" s="15">
        <f t="shared" si="3"/>
        <v>588.20000000000005</v>
      </c>
      <c r="K12" s="15">
        <v>0</v>
      </c>
      <c r="L12" s="15">
        <v>0</v>
      </c>
      <c r="M12" s="15">
        <f t="shared" si="4"/>
        <v>561.75</v>
      </c>
      <c r="N12" s="15">
        <f t="shared" si="5"/>
        <v>1149.95</v>
      </c>
      <c r="O12" s="18">
        <f t="shared" si="6"/>
        <v>4200.05</v>
      </c>
      <c r="P12" s="10">
        <v>510.86</v>
      </c>
      <c r="Q12" s="10">
        <v>882.75</v>
      </c>
      <c r="R12" s="35">
        <f>P12+Q12</f>
        <v>1393.6100000000001</v>
      </c>
    </row>
    <row r="13" spans="1:19" x14ac:dyDescent="0.25">
      <c r="B13" t="s">
        <v>34</v>
      </c>
      <c r="C13" t="s">
        <v>141</v>
      </c>
      <c r="D13" t="s">
        <v>75</v>
      </c>
      <c r="E13" s="21">
        <v>5350</v>
      </c>
      <c r="F13" s="3">
        <v>0</v>
      </c>
      <c r="G13" s="15">
        <f t="shared" si="2"/>
        <v>5350</v>
      </c>
      <c r="H13" s="3">
        <v>0</v>
      </c>
      <c r="I13" s="3">
        <v>588.20000000000005</v>
      </c>
      <c r="J13" s="15">
        <f t="shared" si="3"/>
        <v>588.20000000000005</v>
      </c>
      <c r="K13" s="3">
        <v>0</v>
      </c>
      <c r="L13" s="3">
        <v>0</v>
      </c>
      <c r="M13" s="15">
        <f t="shared" si="4"/>
        <v>561.75</v>
      </c>
      <c r="N13" s="15">
        <f t="shared" si="5"/>
        <v>1149.95</v>
      </c>
      <c r="O13" s="18">
        <f t="shared" si="6"/>
        <v>4200.05</v>
      </c>
      <c r="P13" s="27">
        <v>510.86</v>
      </c>
      <c r="Q13" s="27">
        <v>882.75</v>
      </c>
      <c r="R13" s="35">
        <f>P13+Q13</f>
        <v>1393.6100000000001</v>
      </c>
    </row>
    <row r="14" spans="1:19" x14ac:dyDescent="0.25">
      <c r="B14" t="s">
        <v>35</v>
      </c>
      <c r="C14" t="s">
        <v>111</v>
      </c>
      <c r="D14" t="s">
        <v>77</v>
      </c>
      <c r="E14" s="15">
        <v>6000</v>
      </c>
      <c r="F14" s="15">
        <v>0</v>
      </c>
      <c r="G14" s="15">
        <f t="shared" si="2"/>
        <v>6000</v>
      </c>
      <c r="H14" s="15">
        <v>0</v>
      </c>
      <c r="I14" s="15">
        <v>727.04</v>
      </c>
      <c r="J14" s="15">
        <f t="shared" si="3"/>
        <v>727.04</v>
      </c>
      <c r="K14" s="15">
        <v>0</v>
      </c>
      <c r="L14" s="15">
        <v>0</v>
      </c>
      <c r="M14" s="15">
        <f t="shared" si="4"/>
        <v>630</v>
      </c>
      <c r="N14" s="15">
        <f t="shared" si="5"/>
        <v>1357.04</v>
      </c>
      <c r="O14" s="18">
        <f t="shared" si="6"/>
        <v>4642.96</v>
      </c>
      <c r="P14" s="10">
        <v>550.79</v>
      </c>
      <c r="Q14" s="10">
        <v>990</v>
      </c>
      <c r="R14" s="35">
        <f>P14+Q14</f>
        <v>1540.79</v>
      </c>
    </row>
    <row r="15" spans="1:19" x14ac:dyDescent="0.25">
      <c r="B15" t="s">
        <v>36</v>
      </c>
      <c r="C15" t="s">
        <v>86</v>
      </c>
      <c r="D15" t="s">
        <v>39</v>
      </c>
      <c r="E15" s="15">
        <v>4500</v>
      </c>
      <c r="F15" s="15">
        <v>0</v>
      </c>
      <c r="G15" s="15">
        <f t="shared" si="2"/>
        <v>4500</v>
      </c>
      <c r="H15" s="15">
        <v>0</v>
      </c>
      <c r="I15" s="15">
        <v>428.97</v>
      </c>
      <c r="J15" s="15">
        <f t="shared" si="3"/>
        <v>428.97</v>
      </c>
      <c r="K15" s="15">
        <v>0</v>
      </c>
      <c r="L15" s="15">
        <v>0</v>
      </c>
      <c r="M15" s="15">
        <f t="shared" si="4"/>
        <v>472.5</v>
      </c>
      <c r="N15" s="15">
        <f t="shared" si="5"/>
        <v>901.47</v>
      </c>
      <c r="O15" s="18">
        <f t="shared" si="6"/>
        <v>3598.5299999999997</v>
      </c>
      <c r="P15" s="10">
        <v>489.36</v>
      </c>
      <c r="Q15" s="10">
        <v>825</v>
      </c>
      <c r="R15" s="35">
        <f>P15+Q15</f>
        <v>1314.3600000000001</v>
      </c>
    </row>
    <row r="16" spans="1:19" x14ac:dyDescent="0.25">
      <c r="B16" t="s">
        <v>115</v>
      </c>
      <c r="C16" t="s">
        <v>87</v>
      </c>
      <c r="D16" t="s">
        <v>39</v>
      </c>
      <c r="E16" s="15">
        <v>4500</v>
      </c>
      <c r="F16" s="15">
        <v>0</v>
      </c>
      <c r="G16" s="15">
        <f t="shared" si="2"/>
        <v>4500</v>
      </c>
      <c r="H16" s="15">
        <v>0</v>
      </c>
      <c r="I16" s="15">
        <v>428.97</v>
      </c>
      <c r="J16" s="15">
        <f t="shared" si="3"/>
        <v>428.97</v>
      </c>
      <c r="K16" s="15">
        <v>0</v>
      </c>
      <c r="L16" s="15">
        <v>0</v>
      </c>
      <c r="M16" s="15">
        <f t="shared" si="4"/>
        <v>472.5</v>
      </c>
      <c r="N16" s="15">
        <f t="shared" si="5"/>
        <v>901.47</v>
      </c>
      <c r="O16" s="18">
        <f t="shared" si="6"/>
        <v>3598.5299999999997</v>
      </c>
      <c r="P16" s="10">
        <v>458.64</v>
      </c>
      <c r="Q16" s="10">
        <v>742.5</v>
      </c>
      <c r="R16" s="35">
        <f t="shared" ref="R16:R18" si="7">P16+Q16</f>
        <v>1201.1399999999999</v>
      </c>
    </row>
    <row r="17" spans="1:18" x14ac:dyDescent="0.25">
      <c r="B17" t="s">
        <v>116</v>
      </c>
      <c r="C17" t="s">
        <v>89</v>
      </c>
      <c r="D17" t="s">
        <v>4</v>
      </c>
      <c r="E17" s="15">
        <v>2700</v>
      </c>
      <c r="F17" s="15">
        <v>0</v>
      </c>
      <c r="G17" s="15">
        <f t="shared" si="2"/>
        <v>2700</v>
      </c>
      <c r="H17" s="15">
        <v>147.32</v>
      </c>
      <c r="I17" s="15">
        <v>188.33</v>
      </c>
      <c r="J17" s="15">
        <f t="shared" si="3"/>
        <v>41.010000000000019</v>
      </c>
      <c r="K17" s="15">
        <v>0</v>
      </c>
      <c r="L17" s="15">
        <v>0</v>
      </c>
      <c r="M17" s="15">
        <f t="shared" si="4"/>
        <v>283.5</v>
      </c>
      <c r="N17" s="15">
        <f t="shared" si="5"/>
        <v>324.51</v>
      </c>
      <c r="O17" s="18">
        <f t="shared" si="6"/>
        <v>2375.4899999999998</v>
      </c>
      <c r="P17" s="10">
        <v>348.07</v>
      </c>
      <c r="Q17" s="10">
        <v>445.5</v>
      </c>
      <c r="R17" s="35">
        <f t="shared" si="7"/>
        <v>793.56999999999994</v>
      </c>
    </row>
    <row r="18" spans="1:18" x14ac:dyDescent="0.25">
      <c r="B18" t="s">
        <v>117</v>
      </c>
      <c r="C18" t="s">
        <v>88</v>
      </c>
      <c r="D18" t="s">
        <v>40</v>
      </c>
      <c r="E18" s="15">
        <v>3150</v>
      </c>
      <c r="F18" s="15">
        <v>0</v>
      </c>
      <c r="G18" s="15">
        <f t="shared" si="2"/>
        <v>3150</v>
      </c>
      <c r="H18" s="15">
        <v>126.77</v>
      </c>
      <c r="I18" s="15">
        <v>237.29</v>
      </c>
      <c r="J18" s="15">
        <f t="shared" si="3"/>
        <v>110.52</v>
      </c>
      <c r="K18" s="15">
        <v>0</v>
      </c>
      <c r="L18" s="15">
        <v>0</v>
      </c>
      <c r="M18" s="15">
        <f t="shared" si="4"/>
        <v>330.75</v>
      </c>
      <c r="N18" s="15">
        <f t="shared" si="5"/>
        <v>441.27</v>
      </c>
      <c r="O18" s="18">
        <f t="shared" si="6"/>
        <v>2708.73</v>
      </c>
      <c r="P18" s="10">
        <v>375.71</v>
      </c>
      <c r="Q18" s="10">
        <v>519.75</v>
      </c>
      <c r="R18" s="35">
        <f t="shared" si="7"/>
        <v>895.46</v>
      </c>
    </row>
    <row r="19" spans="1:18" x14ac:dyDescent="0.25">
      <c r="A19" t="s">
        <v>136</v>
      </c>
      <c r="B19" s="2" t="s">
        <v>26</v>
      </c>
      <c r="E19" s="34">
        <f t="shared" ref="E19:R19" si="8">SUM(E11:E18)</f>
        <v>41550</v>
      </c>
      <c r="F19" s="34">
        <f t="shared" si="8"/>
        <v>0</v>
      </c>
      <c r="G19" s="34">
        <f t="shared" si="8"/>
        <v>41550</v>
      </c>
      <c r="H19" s="34">
        <f t="shared" si="8"/>
        <v>274.08999999999997</v>
      </c>
      <c r="I19" s="34">
        <f t="shared" si="8"/>
        <v>4768.4400000000005</v>
      </c>
      <c r="J19" s="34">
        <f t="shared" si="8"/>
        <v>4494.3500000000013</v>
      </c>
      <c r="K19" s="34">
        <f t="shared" si="8"/>
        <v>0</v>
      </c>
      <c r="L19" s="34">
        <f t="shared" si="8"/>
        <v>0</v>
      </c>
      <c r="M19" s="34">
        <f t="shared" si="8"/>
        <v>4362.75</v>
      </c>
      <c r="N19" s="34">
        <f t="shared" si="8"/>
        <v>8857.1</v>
      </c>
      <c r="O19" s="34">
        <f t="shared" si="8"/>
        <v>32692.899999999998</v>
      </c>
      <c r="P19" s="34">
        <f t="shared" si="8"/>
        <v>4040.8100000000004</v>
      </c>
      <c r="Q19" s="34">
        <f t="shared" si="8"/>
        <v>6938.25</v>
      </c>
      <c r="R19" s="34">
        <f t="shared" si="8"/>
        <v>10979.059999999998</v>
      </c>
    </row>
    <row r="20" spans="1:18" x14ac:dyDescent="0.25">
      <c r="B20" s="2"/>
    </row>
    <row r="21" spans="1:18" x14ac:dyDescent="0.25">
      <c r="B21" s="2" t="s">
        <v>43</v>
      </c>
      <c r="C21" s="2" t="s">
        <v>44</v>
      </c>
    </row>
    <row r="22" spans="1:18" x14ac:dyDescent="0.25">
      <c r="B22" t="s">
        <v>118</v>
      </c>
      <c r="C22" t="s">
        <v>90</v>
      </c>
      <c r="D22" t="s">
        <v>6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f>I22-H22</f>
        <v>0</v>
      </c>
      <c r="K22" s="15">
        <v>0</v>
      </c>
      <c r="L22" s="15">
        <v>0</v>
      </c>
      <c r="M22" s="15">
        <f>E22*0.105</f>
        <v>0</v>
      </c>
      <c r="N22" s="15">
        <f>SUM(J22:M22)</f>
        <v>0</v>
      </c>
      <c r="O22" s="18">
        <v>0</v>
      </c>
      <c r="P22" s="36">
        <v>0</v>
      </c>
      <c r="Q22" s="36">
        <v>0</v>
      </c>
      <c r="R22" s="37">
        <v>0</v>
      </c>
    </row>
    <row r="23" spans="1:18" x14ac:dyDescent="0.25">
      <c r="B23" t="s">
        <v>119</v>
      </c>
      <c r="C23" t="s">
        <v>91</v>
      </c>
      <c r="D23" t="s">
        <v>76</v>
      </c>
      <c r="E23" s="15">
        <v>5350</v>
      </c>
      <c r="F23" s="15">
        <v>0</v>
      </c>
      <c r="G23" s="15">
        <f>E23+F23</f>
        <v>5350</v>
      </c>
      <c r="H23" s="15">
        <v>0</v>
      </c>
      <c r="I23" s="15">
        <v>588.20000000000005</v>
      </c>
      <c r="J23" s="15">
        <f>I23-H23</f>
        <v>588.20000000000005</v>
      </c>
      <c r="K23" s="15">
        <v>0</v>
      </c>
      <c r="L23" s="15">
        <v>0</v>
      </c>
      <c r="M23" s="15">
        <f>E23*0.105</f>
        <v>561.75</v>
      </c>
      <c r="N23" s="15">
        <f>SUM(J23:M23)</f>
        <v>1149.95</v>
      </c>
      <c r="O23" s="18">
        <f>G23-N23</f>
        <v>4200.05</v>
      </c>
      <c r="P23" s="10">
        <v>510.86</v>
      </c>
      <c r="Q23" s="10">
        <v>882.75</v>
      </c>
      <c r="R23" s="35">
        <f>P23+Q23</f>
        <v>1393.6100000000001</v>
      </c>
    </row>
    <row r="24" spans="1:18" x14ac:dyDescent="0.25">
      <c r="A24" t="s">
        <v>134</v>
      </c>
      <c r="B24" s="2" t="s">
        <v>26</v>
      </c>
      <c r="E24" s="34">
        <f>SUM(E22:E23)</f>
        <v>5350</v>
      </c>
      <c r="F24" s="34">
        <f>F23</f>
        <v>0</v>
      </c>
      <c r="G24" s="34">
        <f t="shared" ref="G24:R24" si="9">SUM(G22:G23)</f>
        <v>5350</v>
      </c>
      <c r="H24" s="34">
        <f t="shared" si="9"/>
        <v>0</v>
      </c>
      <c r="I24" s="34">
        <f t="shared" si="9"/>
        <v>588.20000000000005</v>
      </c>
      <c r="J24" s="34">
        <f t="shared" si="9"/>
        <v>588.20000000000005</v>
      </c>
      <c r="K24" s="34">
        <f t="shared" si="9"/>
        <v>0</v>
      </c>
      <c r="L24" s="34">
        <f t="shared" si="9"/>
        <v>0</v>
      </c>
      <c r="M24" s="34">
        <f t="shared" si="9"/>
        <v>561.75</v>
      </c>
      <c r="N24" s="34">
        <f t="shared" si="9"/>
        <v>1149.95</v>
      </c>
      <c r="O24" s="34">
        <f t="shared" si="9"/>
        <v>4200.05</v>
      </c>
      <c r="P24" s="34">
        <f t="shared" si="9"/>
        <v>510.86</v>
      </c>
      <c r="Q24" s="34">
        <f t="shared" si="9"/>
        <v>882.75</v>
      </c>
      <c r="R24" s="34">
        <f t="shared" si="9"/>
        <v>1393.6100000000001</v>
      </c>
    </row>
    <row r="26" spans="1:18" x14ac:dyDescent="0.25">
      <c r="B26" s="2" t="s">
        <v>50</v>
      </c>
      <c r="C26" s="2" t="s">
        <v>47</v>
      </c>
    </row>
    <row r="27" spans="1:18" x14ac:dyDescent="0.25">
      <c r="B27" t="s">
        <v>120</v>
      </c>
      <c r="C27" t="s">
        <v>93</v>
      </c>
      <c r="D27" t="s">
        <v>78</v>
      </c>
      <c r="E27" s="15">
        <v>5350</v>
      </c>
      <c r="F27" s="15">
        <v>0</v>
      </c>
      <c r="G27" s="15">
        <f>E27+F27</f>
        <v>5350</v>
      </c>
      <c r="H27" s="15">
        <v>0</v>
      </c>
      <c r="I27" s="15">
        <v>588.20000000000005</v>
      </c>
      <c r="J27" s="15">
        <f>I27-H27</f>
        <v>588.20000000000005</v>
      </c>
      <c r="K27" s="15">
        <v>0</v>
      </c>
      <c r="L27" s="15">
        <v>0</v>
      </c>
      <c r="M27" s="15">
        <f>E27*0.105</f>
        <v>561.75</v>
      </c>
      <c r="N27" s="15">
        <f>SUM(J27:M27)</f>
        <v>1149.95</v>
      </c>
      <c r="O27" s="18">
        <f>G27-N27</f>
        <v>4200.05</v>
      </c>
      <c r="P27" s="10">
        <v>510.86</v>
      </c>
      <c r="Q27" s="10">
        <v>882.75</v>
      </c>
      <c r="R27" s="35">
        <f>P27+Q27</f>
        <v>1393.6100000000001</v>
      </c>
    </row>
    <row r="28" spans="1:18" x14ac:dyDescent="0.25">
      <c r="B28" t="s">
        <v>121</v>
      </c>
      <c r="C28" t="s">
        <v>114</v>
      </c>
      <c r="D28" t="s">
        <v>79</v>
      </c>
      <c r="E28" s="15">
        <v>5350</v>
      </c>
      <c r="F28" s="15">
        <v>0</v>
      </c>
      <c r="G28" s="15">
        <f>E28+F28</f>
        <v>5350</v>
      </c>
      <c r="H28" s="15">
        <v>0</v>
      </c>
      <c r="I28" s="15">
        <v>588.20000000000005</v>
      </c>
      <c r="J28" s="15">
        <f>I28-H28</f>
        <v>588.20000000000005</v>
      </c>
      <c r="K28" s="15">
        <v>0</v>
      </c>
      <c r="L28" s="15">
        <v>0</v>
      </c>
      <c r="M28" s="15">
        <f>E28*0.105</f>
        <v>561.75</v>
      </c>
      <c r="N28" s="15">
        <f>SUM(J28:M28)</f>
        <v>1149.95</v>
      </c>
      <c r="O28" s="18">
        <f>G28-N28</f>
        <v>4200.05</v>
      </c>
      <c r="P28" s="10">
        <v>510.86</v>
      </c>
      <c r="Q28" s="10">
        <v>882.75</v>
      </c>
      <c r="R28" s="35">
        <f>P28+Q28</f>
        <v>1393.6100000000001</v>
      </c>
    </row>
    <row r="29" spans="1:18" x14ac:dyDescent="0.25">
      <c r="A29" t="s">
        <v>137</v>
      </c>
      <c r="B29" s="2" t="s">
        <v>26</v>
      </c>
      <c r="E29" s="34">
        <f t="shared" ref="E29:R29" si="10">SUM(E27:E28)</f>
        <v>10700</v>
      </c>
      <c r="F29" s="34">
        <f t="shared" si="10"/>
        <v>0</v>
      </c>
      <c r="G29" s="34">
        <f t="shared" si="10"/>
        <v>10700</v>
      </c>
      <c r="H29" s="34">
        <f t="shared" si="10"/>
        <v>0</v>
      </c>
      <c r="I29" s="34">
        <f t="shared" si="10"/>
        <v>1176.4000000000001</v>
      </c>
      <c r="J29" s="34">
        <f t="shared" si="10"/>
        <v>1176.4000000000001</v>
      </c>
      <c r="K29" s="34">
        <f t="shared" si="10"/>
        <v>0</v>
      </c>
      <c r="L29" s="34">
        <f t="shared" si="10"/>
        <v>0</v>
      </c>
      <c r="M29" s="34">
        <f t="shared" si="10"/>
        <v>1123.5</v>
      </c>
      <c r="N29" s="34">
        <f t="shared" si="10"/>
        <v>2299.9</v>
      </c>
      <c r="O29" s="34">
        <f t="shared" si="10"/>
        <v>8400.1</v>
      </c>
      <c r="P29" s="34">
        <f t="shared" si="10"/>
        <v>1021.72</v>
      </c>
      <c r="Q29" s="34">
        <f t="shared" si="10"/>
        <v>1765.5</v>
      </c>
      <c r="R29" s="34">
        <f t="shared" si="10"/>
        <v>2787.2200000000003</v>
      </c>
    </row>
    <row r="31" spans="1:18" x14ac:dyDescent="0.25">
      <c r="B31" s="2" t="s">
        <v>63</v>
      </c>
      <c r="C31" s="2" t="s">
        <v>51</v>
      </c>
    </row>
    <row r="32" spans="1:18" x14ac:dyDescent="0.25">
      <c r="B32" t="s">
        <v>122</v>
      </c>
      <c r="C32" t="s">
        <v>97</v>
      </c>
      <c r="D32" t="s">
        <v>80</v>
      </c>
      <c r="E32" s="15">
        <v>5350</v>
      </c>
      <c r="F32" s="15">
        <v>0</v>
      </c>
      <c r="G32" s="15">
        <f t="shared" ref="G32:G42" si="11">E32+F32</f>
        <v>5350</v>
      </c>
      <c r="H32" s="15">
        <v>0</v>
      </c>
      <c r="I32" s="15">
        <v>588.20000000000005</v>
      </c>
      <c r="J32" s="15">
        <f t="shared" ref="J32:J42" si="12">I32-H32</f>
        <v>588.20000000000005</v>
      </c>
      <c r="K32" s="15">
        <v>0</v>
      </c>
      <c r="L32" s="15">
        <v>0</v>
      </c>
      <c r="M32" s="15">
        <f t="shared" ref="M32:M42" si="13">E32*0.105</f>
        <v>561.75</v>
      </c>
      <c r="N32" s="15">
        <f t="shared" ref="N32:N42" si="14">SUM(J32:M32)</f>
        <v>1149.95</v>
      </c>
      <c r="O32" s="18">
        <f t="shared" ref="O32:O42" si="15">G32-N32</f>
        <v>4200.05</v>
      </c>
      <c r="P32" s="10">
        <v>510.86</v>
      </c>
      <c r="Q32" s="10">
        <v>882.75</v>
      </c>
      <c r="R32" s="35">
        <f t="shared" ref="R32:R42" si="16">P32+Q32</f>
        <v>1393.6100000000001</v>
      </c>
    </row>
    <row r="33" spans="1:18" x14ac:dyDescent="0.25">
      <c r="B33" t="s">
        <v>123</v>
      </c>
      <c r="C33" t="s">
        <v>100</v>
      </c>
      <c r="D33" t="s">
        <v>80</v>
      </c>
      <c r="E33" s="15">
        <v>5350</v>
      </c>
      <c r="F33" s="15">
        <v>0</v>
      </c>
      <c r="G33" s="15">
        <f t="shared" si="11"/>
        <v>5350</v>
      </c>
      <c r="H33" s="15">
        <v>0</v>
      </c>
      <c r="I33" s="15">
        <v>588.20000000000005</v>
      </c>
      <c r="J33" s="15">
        <f t="shared" si="12"/>
        <v>588.20000000000005</v>
      </c>
      <c r="K33" s="15">
        <v>0</v>
      </c>
      <c r="L33" s="15">
        <v>0</v>
      </c>
      <c r="M33" s="15">
        <f t="shared" si="13"/>
        <v>561.75</v>
      </c>
      <c r="N33" s="15">
        <f t="shared" si="14"/>
        <v>1149.95</v>
      </c>
      <c r="O33" s="18">
        <f t="shared" si="15"/>
        <v>4200.05</v>
      </c>
      <c r="P33" s="10">
        <v>510.86</v>
      </c>
      <c r="Q33" s="10">
        <v>882.75</v>
      </c>
      <c r="R33" s="35">
        <f t="shared" si="16"/>
        <v>1393.6100000000001</v>
      </c>
    </row>
    <row r="34" spans="1:18" x14ac:dyDescent="0.25">
      <c r="B34" t="s">
        <v>124</v>
      </c>
      <c r="C34" t="s">
        <v>96</v>
      </c>
      <c r="D34" t="s">
        <v>78</v>
      </c>
      <c r="E34" s="15">
        <v>5350</v>
      </c>
      <c r="F34" s="15">
        <v>0</v>
      </c>
      <c r="G34" s="15">
        <f t="shared" si="11"/>
        <v>5350</v>
      </c>
      <c r="H34" s="15">
        <v>0</v>
      </c>
      <c r="I34" s="15">
        <v>588.20000000000005</v>
      </c>
      <c r="J34" s="15">
        <f t="shared" si="12"/>
        <v>588.20000000000005</v>
      </c>
      <c r="K34" s="15">
        <v>0</v>
      </c>
      <c r="L34" s="15">
        <v>0</v>
      </c>
      <c r="M34" s="15">
        <f t="shared" si="13"/>
        <v>561.75</v>
      </c>
      <c r="N34" s="15">
        <f t="shared" si="14"/>
        <v>1149.95</v>
      </c>
      <c r="O34" s="18">
        <f t="shared" si="15"/>
        <v>4200.05</v>
      </c>
      <c r="P34" s="10">
        <v>510.86</v>
      </c>
      <c r="Q34" s="10">
        <v>882.75</v>
      </c>
      <c r="R34" s="35">
        <f t="shared" si="16"/>
        <v>1393.6100000000001</v>
      </c>
    </row>
    <row r="35" spans="1:18" x14ac:dyDescent="0.25">
      <c r="B35" t="s">
        <v>125</v>
      </c>
      <c r="C35" t="s">
        <v>104</v>
      </c>
      <c r="D35" t="s">
        <v>78</v>
      </c>
      <c r="E35" s="15">
        <v>5350</v>
      </c>
      <c r="F35" s="15">
        <v>0</v>
      </c>
      <c r="G35" s="15">
        <f t="shared" si="11"/>
        <v>5350</v>
      </c>
      <c r="H35" s="15">
        <v>0</v>
      </c>
      <c r="I35" s="15">
        <v>588.20000000000005</v>
      </c>
      <c r="J35" s="15">
        <f t="shared" si="12"/>
        <v>588.20000000000005</v>
      </c>
      <c r="K35" s="15">
        <v>0</v>
      </c>
      <c r="L35" s="15">
        <v>0</v>
      </c>
      <c r="M35" s="15">
        <f t="shared" si="13"/>
        <v>561.75</v>
      </c>
      <c r="N35" s="15">
        <f t="shared" si="14"/>
        <v>1149.95</v>
      </c>
      <c r="O35" s="18">
        <f t="shared" si="15"/>
        <v>4200.05</v>
      </c>
      <c r="P35" s="10">
        <v>510.86</v>
      </c>
      <c r="Q35" s="10">
        <v>882.75</v>
      </c>
      <c r="R35" s="35">
        <f t="shared" si="16"/>
        <v>1393.6100000000001</v>
      </c>
    </row>
    <row r="36" spans="1:18" x14ac:dyDescent="0.25">
      <c r="B36" t="s">
        <v>126</v>
      </c>
      <c r="C36" t="s">
        <v>94</v>
      </c>
      <c r="D36" t="s">
        <v>81</v>
      </c>
      <c r="E36" s="15">
        <v>5350</v>
      </c>
      <c r="F36" s="15">
        <v>0</v>
      </c>
      <c r="G36" s="15">
        <f t="shared" si="11"/>
        <v>5350</v>
      </c>
      <c r="H36" s="15">
        <v>0</v>
      </c>
      <c r="I36" s="15">
        <v>588.20000000000005</v>
      </c>
      <c r="J36" s="15">
        <f t="shared" si="12"/>
        <v>588.20000000000005</v>
      </c>
      <c r="K36" s="15">
        <v>0</v>
      </c>
      <c r="L36" s="15">
        <v>0</v>
      </c>
      <c r="M36" s="15">
        <f t="shared" si="13"/>
        <v>561.75</v>
      </c>
      <c r="N36" s="15">
        <f t="shared" si="14"/>
        <v>1149.95</v>
      </c>
      <c r="O36" s="18">
        <f t="shared" si="15"/>
        <v>4200.05</v>
      </c>
      <c r="P36" s="10">
        <v>510.86</v>
      </c>
      <c r="Q36" s="10">
        <v>882.75</v>
      </c>
      <c r="R36" s="35">
        <f t="shared" si="16"/>
        <v>1393.6100000000001</v>
      </c>
    </row>
    <row r="37" spans="1:18" x14ac:dyDescent="0.25">
      <c r="B37" t="s">
        <v>127</v>
      </c>
      <c r="C37" t="s">
        <v>98</v>
      </c>
      <c r="D37" t="s">
        <v>81</v>
      </c>
      <c r="E37" s="15">
        <v>5350</v>
      </c>
      <c r="F37" s="15">
        <v>0</v>
      </c>
      <c r="G37" s="15">
        <f t="shared" si="11"/>
        <v>5350</v>
      </c>
      <c r="H37" s="15">
        <v>0</v>
      </c>
      <c r="I37" s="15">
        <v>588.20000000000005</v>
      </c>
      <c r="J37" s="15">
        <f t="shared" si="12"/>
        <v>588.20000000000005</v>
      </c>
      <c r="K37" s="15">
        <v>0</v>
      </c>
      <c r="L37" s="15">
        <v>0</v>
      </c>
      <c r="M37" s="15">
        <f t="shared" si="13"/>
        <v>561.75</v>
      </c>
      <c r="N37" s="15">
        <f t="shared" si="14"/>
        <v>1149.95</v>
      </c>
      <c r="O37" s="18">
        <f t="shared" si="15"/>
        <v>4200.05</v>
      </c>
      <c r="P37" s="10">
        <v>510.86</v>
      </c>
      <c r="Q37" s="10">
        <v>882.75</v>
      </c>
      <c r="R37" s="35">
        <f t="shared" si="16"/>
        <v>1393.6100000000001</v>
      </c>
    </row>
    <row r="38" spans="1:18" x14ac:dyDescent="0.25">
      <c r="B38" t="s">
        <v>128</v>
      </c>
      <c r="C38" t="s">
        <v>101</v>
      </c>
      <c r="D38" t="s">
        <v>81</v>
      </c>
      <c r="E38" s="15">
        <v>5350</v>
      </c>
      <c r="F38" s="15">
        <v>0</v>
      </c>
      <c r="G38" s="15">
        <f t="shared" si="11"/>
        <v>5350</v>
      </c>
      <c r="H38" s="15">
        <v>0</v>
      </c>
      <c r="I38" s="15">
        <v>588.20000000000005</v>
      </c>
      <c r="J38" s="15">
        <f t="shared" si="12"/>
        <v>588.20000000000005</v>
      </c>
      <c r="K38" s="15">
        <v>0</v>
      </c>
      <c r="L38" s="15">
        <v>0</v>
      </c>
      <c r="M38" s="15">
        <f t="shared" si="13"/>
        <v>561.75</v>
      </c>
      <c r="N38" s="15">
        <f t="shared" si="14"/>
        <v>1149.95</v>
      </c>
      <c r="O38" s="18">
        <f t="shared" si="15"/>
        <v>4200.05</v>
      </c>
      <c r="P38" s="10">
        <v>510.86</v>
      </c>
      <c r="Q38" s="10">
        <v>882.75</v>
      </c>
      <c r="R38" s="35">
        <f t="shared" si="16"/>
        <v>1393.6100000000001</v>
      </c>
    </row>
    <row r="39" spans="1:18" x14ac:dyDescent="0.25">
      <c r="B39" t="s">
        <v>129</v>
      </c>
      <c r="C39" t="s">
        <v>95</v>
      </c>
      <c r="D39" t="s">
        <v>82</v>
      </c>
      <c r="E39" s="15">
        <v>5350</v>
      </c>
      <c r="F39" s="15">
        <v>0</v>
      </c>
      <c r="G39" s="15">
        <f t="shared" si="11"/>
        <v>5350</v>
      </c>
      <c r="H39" s="15">
        <v>0</v>
      </c>
      <c r="I39" s="15">
        <v>588.20000000000005</v>
      </c>
      <c r="J39" s="15">
        <f t="shared" si="12"/>
        <v>588.20000000000005</v>
      </c>
      <c r="K39" s="15">
        <v>0</v>
      </c>
      <c r="L39" s="15">
        <v>0</v>
      </c>
      <c r="M39" s="15">
        <f t="shared" si="13"/>
        <v>561.75</v>
      </c>
      <c r="N39" s="15">
        <f t="shared" si="14"/>
        <v>1149.95</v>
      </c>
      <c r="O39" s="18">
        <f t="shared" si="15"/>
        <v>4200.05</v>
      </c>
      <c r="P39" s="10">
        <v>510.86</v>
      </c>
      <c r="Q39" s="10">
        <v>882.75</v>
      </c>
      <c r="R39" s="35">
        <f t="shared" si="16"/>
        <v>1393.6100000000001</v>
      </c>
    </row>
    <row r="40" spans="1:18" x14ac:dyDescent="0.25">
      <c r="B40" t="s">
        <v>130</v>
      </c>
      <c r="C40" t="s">
        <v>102</v>
      </c>
      <c r="D40" t="s">
        <v>82</v>
      </c>
      <c r="E40" s="15">
        <v>5350</v>
      </c>
      <c r="F40" s="15">
        <v>0</v>
      </c>
      <c r="G40" s="15">
        <f t="shared" si="11"/>
        <v>5350</v>
      </c>
      <c r="H40" s="15">
        <v>0</v>
      </c>
      <c r="I40" s="15">
        <v>588.20000000000005</v>
      </c>
      <c r="J40" s="15">
        <f t="shared" si="12"/>
        <v>588.20000000000005</v>
      </c>
      <c r="K40" s="15">
        <v>0</v>
      </c>
      <c r="L40" s="15">
        <v>0</v>
      </c>
      <c r="M40" s="15">
        <f t="shared" si="13"/>
        <v>561.75</v>
      </c>
      <c r="N40" s="15">
        <f t="shared" si="14"/>
        <v>1149.95</v>
      </c>
      <c r="O40" s="18">
        <f t="shared" si="15"/>
        <v>4200.05</v>
      </c>
      <c r="P40" s="10">
        <v>510.86</v>
      </c>
      <c r="Q40" s="10">
        <v>882.75</v>
      </c>
      <c r="R40" s="35">
        <f t="shared" si="16"/>
        <v>1393.6100000000001</v>
      </c>
    </row>
    <row r="41" spans="1:18" x14ac:dyDescent="0.25">
      <c r="B41" t="s">
        <v>131</v>
      </c>
      <c r="C41" t="s">
        <v>85</v>
      </c>
      <c r="D41" t="s">
        <v>83</v>
      </c>
      <c r="E41" s="15">
        <v>5350</v>
      </c>
      <c r="F41" s="15">
        <v>0</v>
      </c>
      <c r="G41" s="15">
        <f t="shared" si="11"/>
        <v>5350</v>
      </c>
      <c r="H41" s="15">
        <v>0</v>
      </c>
      <c r="I41" s="15">
        <v>588.20000000000005</v>
      </c>
      <c r="J41" s="15">
        <f t="shared" si="12"/>
        <v>588.20000000000005</v>
      </c>
      <c r="K41" s="15">
        <v>0</v>
      </c>
      <c r="L41" s="15">
        <v>0</v>
      </c>
      <c r="M41" s="15">
        <f t="shared" si="13"/>
        <v>561.75</v>
      </c>
      <c r="N41" s="15">
        <f t="shared" si="14"/>
        <v>1149.95</v>
      </c>
      <c r="O41" s="18">
        <f t="shared" si="15"/>
        <v>4200.05</v>
      </c>
      <c r="P41" s="10">
        <v>510.86</v>
      </c>
      <c r="Q41" s="10">
        <v>882.75</v>
      </c>
      <c r="R41" s="35">
        <f t="shared" si="16"/>
        <v>1393.6100000000001</v>
      </c>
    </row>
    <row r="42" spans="1:18" x14ac:dyDescent="0.25">
      <c r="B42" t="s">
        <v>132</v>
      </c>
      <c r="C42" t="s">
        <v>103</v>
      </c>
      <c r="D42" t="s">
        <v>83</v>
      </c>
      <c r="E42" s="15">
        <v>5350</v>
      </c>
      <c r="F42" s="15">
        <v>0</v>
      </c>
      <c r="G42" s="15">
        <f t="shared" si="11"/>
        <v>5350</v>
      </c>
      <c r="H42" s="15">
        <v>0</v>
      </c>
      <c r="I42" s="15">
        <v>588.20000000000005</v>
      </c>
      <c r="J42" s="15">
        <f t="shared" si="12"/>
        <v>588.20000000000005</v>
      </c>
      <c r="K42" s="15">
        <v>0</v>
      </c>
      <c r="L42" s="15">
        <v>0</v>
      </c>
      <c r="M42" s="15">
        <f t="shared" si="13"/>
        <v>561.75</v>
      </c>
      <c r="N42" s="15">
        <f t="shared" si="14"/>
        <v>1149.95</v>
      </c>
      <c r="O42" s="18">
        <f t="shared" si="15"/>
        <v>4200.05</v>
      </c>
      <c r="P42" s="10">
        <v>510.86</v>
      </c>
      <c r="Q42" s="10">
        <v>882.75</v>
      </c>
      <c r="R42" s="35">
        <f t="shared" si="16"/>
        <v>1393.6100000000001</v>
      </c>
    </row>
    <row r="43" spans="1:18" x14ac:dyDescent="0.25">
      <c r="A43" t="s">
        <v>138</v>
      </c>
      <c r="B43" s="2" t="s">
        <v>26</v>
      </c>
      <c r="E43" s="34">
        <f t="shared" ref="E43:R43" si="17">SUM(E32:E42)</f>
        <v>58850</v>
      </c>
      <c r="F43" s="34">
        <f t="shared" si="17"/>
        <v>0</v>
      </c>
      <c r="G43" s="34">
        <f t="shared" si="17"/>
        <v>58850</v>
      </c>
      <c r="H43" s="34">
        <f t="shared" si="17"/>
        <v>0</v>
      </c>
      <c r="I43" s="34">
        <f t="shared" si="17"/>
        <v>6470.1999999999989</v>
      </c>
      <c r="J43" s="34">
        <f t="shared" si="17"/>
        <v>6470.1999999999989</v>
      </c>
      <c r="K43" s="34">
        <f t="shared" si="17"/>
        <v>0</v>
      </c>
      <c r="L43" s="34">
        <f t="shared" si="17"/>
        <v>0</v>
      </c>
      <c r="M43" s="34">
        <f t="shared" si="17"/>
        <v>6179.25</v>
      </c>
      <c r="N43" s="34">
        <f t="shared" si="17"/>
        <v>12649.450000000003</v>
      </c>
      <c r="O43" s="34">
        <f t="shared" si="17"/>
        <v>46200.55000000001</v>
      </c>
      <c r="P43" s="34">
        <f t="shared" si="17"/>
        <v>5619.46</v>
      </c>
      <c r="Q43" s="34">
        <f t="shared" si="17"/>
        <v>9710.25</v>
      </c>
      <c r="R43" s="34">
        <f t="shared" si="17"/>
        <v>15329.710000000005</v>
      </c>
    </row>
    <row r="45" spans="1:18" x14ac:dyDescent="0.25">
      <c r="B45" s="2" t="s">
        <v>140</v>
      </c>
      <c r="C45" s="2" t="s">
        <v>64</v>
      </c>
    </row>
    <row r="46" spans="1:18" x14ac:dyDescent="0.25">
      <c r="B46" t="s">
        <v>133</v>
      </c>
      <c r="C46" t="s">
        <v>99</v>
      </c>
      <c r="D46" t="s">
        <v>80</v>
      </c>
      <c r="E46" s="15">
        <v>5350</v>
      </c>
      <c r="F46" s="15">
        <v>0</v>
      </c>
      <c r="G46" s="15">
        <f>E46+F46</f>
        <v>5350</v>
      </c>
      <c r="H46" s="15">
        <v>0</v>
      </c>
      <c r="I46" s="15">
        <v>588.20000000000005</v>
      </c>
      <c r="J46" s="15">
        <f>I46-H46</f>
        <v>588.20000000000005</v>
      </c>
      <c r="K46" s="15">
        <v>0</v>
      </c>
      <c r="L46" s="15">
        <v>0</v>
      </c>
      <c r="M46" s="15">
        <f>E46*0.105</f>
        <v>561.75</v>
      </c>
      <c r="N46" s="15">
        <f>SUM(J46:M46)</f>
        <v>1149.95</v>
      </c>
      <c r="O46" s="18">
        <f>G46-N46</f>
        <v>4200.05</v>
      </c>
      <c r="P46" s="10">
        <v>510.86</v>
      </c>
      <c r="Q46" s="10">
        <v>882.75</v>
      </c>
      <c r="R46" s="35">
        <f t="shared" ref="R46" si="18">P46+Q46</f>
        <v>1393.6100000000001</v>
      </c>
    </row>
    <row r="47" spans="1:18" x14ac:dyDescent="0.25">
      <c r="A47" t="s">
        <v>139</v>
      </c>
      <c r="B47" s="2" t="s">
        <v>26</v>
      </c>
      <c r="E47" s="34">
        <f t="shared" ref="E47:R47" si="19">E46</f>
        <v>5350</v>
      </c>
      <c r="F47" s="34">
        <f t="shared" si="19"/>
        <v>0</v>
      </c>
      <c r="G47" s="34">
        <f t="shared" si="19"/>
        <v>5350</v>
      </c>
      <c r="H47" s="34">
        <f t="shared" si="19"/>
        <v>0</v>
      </c>
      <c r="I47" s="34">
        <f t="shared" si="19"/>
        <v>588.20000000000005</v>
      </c>
      <c r="J47" s="34">
        <f t="shared" si="19"/>
        <v>588.20000000000005</v>
      </c>
      <c r="K47" s="34">
        <f t="shared" si="19"/>
        <v>0</v>
      </c>
      <c r="L47" s="34">
        <f t="shared" si="19"/>
        <v>0</v>
      </c>
      <c r="M47" s="34">
        <f t="shared" si="19"/>
        <v>561.75</v>
      </c>
      <c r="N47" s="34">
        <f t="shared" si="19"/>
        <v>1149.95</v>
      </c>
      <c r="O47" s="34">
        <f t="shared" si="19"/>
        <v>4200.05</v>
      </c>
      <c r="P47" s="34">
        <f t="shared" si="19"/>
        <v>510.86</v>
      </c>
      <c r="Q47" s="34">
        <f t="shared" si="19"/>
        <v>882.75</v>
      </c>
      <c r="R47" s="34">
        <f t="shared" si="19"/>
        <v>1393.6100000000001</v>
      </c>
    </row>
    <row r="48" spans="1:18" hidden="1" x14ac:dyDescent="0.25"/>
    <row r="49" spans="2:18" x14ac:dyDescent="0.25">
      <c r="B49" s="2"/>
    </row>
    <row r="51" spans="2:18" x14ac:dyDescent="0.25">
      <c r="B51" s="2"/>
      <c r="G51" s="16"/>
      <c r="H51" s="16"/>
      <c r="I51" s="16"/>
      <c r="J51" s="16"/>
      <c r="K51" s="16"/>
      <c r="L51" s="16"/>
      <c r="M51" s="16"/>
      <c r="N51" s="16"/>
      <c r="O51" s="16"/>
      <c r="P51" s="8"/>
      <c r="Q51" s="8"/>
      <c r="R51" s="8"/>
    </row>
    <row r="53" spans="2:18" ht="18.75" x14ac:dyDescent="0.3">
      <c r="D53" s="4" t="s">
        <v>105</v>
      </c>
      <c r="E53" s="17">
        <f>E8+E19+E24+E29+E43+E47+E51</f>
        <v>153604.95000000001</v>
      </c>
      <c r="F53" s="17">
        <f t="shared" ref="F53:R53" si="20">F8+F19+F24+F29+F43+F47+F51</f>
        <v>0</v>
      </c>
      <c r="G53" s="17">
        <f t="shared" si="20"/>
        <v>153604.95000000001</v>
      </c>
      <c r="H53" s="17">
        <f t="shared" si="20"/>
        <v>274.08999999999997</v>
      </c>
      <c r="I53" s="17">
        <f t="shared" si="20"/>
        <v>18911.5</v>
      </c>
      <c r="J53" s="17">
        <f t="shared" si="20"/>
        <v>18637.41</v>
      </c>
      <c r="K53" s="17">
        <f t="shared" si="20"/>
        <v>0</v>
      </c>
      <c r="L53" s="17">
        <f t="shared" si="20"/>
        <v>0</v>
      </c>
      <c r="M53" s="17">
        <f t="shared" si="20"/>
        <v>16128.519749999999</v>
      </c>
      <c r="N53" s="17">
        <f t="shared" si="20"/>
        <v>34765.929750000003</v>
      </c>
      <c r="O53" s="17">
        <f t="shared" si="20"/>
        <v>118839.02025000002</v>
      </c>
      <c r="P53" s="17">
        <f t="shared" si="20"/>
        <v>14204.14</v>
      </c>
      <c r="Q53" s="17">
        <f t="shared" si="20"/>
        <v>25427.309999999998</v>
      </c>
      <c r="R53" s="17">
        <f t="shared" si="20"/>
        <v>39631.450000000004</v>
      </c>
    </row>
    <row r="55" spans="2:18" ht="18.75" x14ac:dyDescent="0.3">
      <c r="D55" s="26"/>
      <c r="G55" s="25"/>
      <c r="O55" s="17"/>
    </row>
    <row r="56" spans="2:18" ht="18.75" x14ac:dyDescent="0.4">
      <c r="C56" s="33"/>
      <c r="D56" s="22"/>
      <c r="G56" s="23"/>
    </row>
    <row r="62" spans="2:18" ht="15.75" thickBot="1" x14ac:dyDescent="0.3">
      <c r="D62" s="375"/>
      <c r="E62" s="375"/>
      <c r="G62" s="374"/>
      <c r="H62" s="374"/>
      <c r="I62" s="374"/>
    </row>
    <row r="63" spans="2:18" x14ac:dyDescent="0.25">
      <c r="D63" s="376" t="s">
        <v>146</v>
      </c>
      <c r="E63" s="376"/>
      <c r="G63" s="373" t="s">
        <v>147</v>
      </c>
      <c r="H63" s="373"/>
      <c r="I63" s="373"/>
    </row>
    <row r="64" spans="2:18" ht="18.75" x14ac:dyDescent="0.4">
      <c r="D64" s="22"/>
      <c r="G64" s="24"/>
    </row>
    <row r="65" spans="4:9" ht="18.75" x14ac:dyDescent="0.4">
      <c r="D65" s="370" t="s">
        <v>144</v>
      </c>
      <c r="E65" s="370"/>
      <c r="G65" s="371" t="s">
        <v>145</v>
      </c>
      <c r="H65" s="371"/>
      <c r="I65" s="371"/>
    </row>
  </sheetData>
  <mergeCells count="8">
    <mergeCell ref="D65:E65"/>
    <mergeCell ref="G65:I65"/>
    <mergeCell ref="E2:R2"/>
    <mergeCell ref="C1:D1"/>
    <mergeCell ref="G63:I63"/>
    <mergeCell ref="G62:I62"/>
    <mergeCell ref="D62:E62"/>
    <mergeCell ref="D63:E63"/>
  </mergeCells>
  <pageMargins left="0.51181102362204722" right="0.51181102362204722" top="0.55118110236220474" bottom="0.55118110236220474" header="0.31496062992125984" footer="0.31496062992125984"/>
  <pageSetup scale="30" fitToHeight="0" orientation="portrait" r:id="rId1"/>
  <ignoredErrors>
    <ignoredError sqref="F2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15" sqref="E15"/>
    </sheetView>
  </sheetViews>
  <sheetFormatPr baseColWidth="10" defaultRowHeight="15" x14ac:dyDescent="0.25"/>
  <cols>
    <col min="1" max="1" width="11.42578125" customWidth="1"/>
    <col min="3" max="3" width="33.42578125" customWidth="1"/>
    <col min="4" max="4" width="27" customWidth="1"/>
    <col min="5" max="5" width="18.7109375" customWidth="1"/>
    <col min="6" max="6" width="14.42578125" customWidth="1"/>
    <col min="7" max="7" width="17.28515625" customWidth="1"/>
    <col min="8" max="8" width="11.42578125" customWidth="1"/>
    <col min="9" max="9" width="13.140625" customWidth="1"/>
    <col min="10" max="10" width="12.85546875" customWidth="1"/>
    <col min="11" max="12" width="11.42578125" customWidth="1"/>
    <col min="13" max="13" width="16.28515625" customWidth="1"/>
    <col min="14" max="14" width="17.28515625" customWidth="1"/>
    <col min="15" max="15" width="20.140625" customWidth="1"/>
    <col min="16" max="16" width="17.42578125" customWidth="1"/>
    <col min="17" max="17" width="15.7109375" customWidth="1"/>
    <col min="18" max="18" width="19.28515625" customWidth="1"/>
  </cols>
  <sheetData>
    <row r="1" spans="1:18" ht="18.75" x14ac:dyDescent="0.25">
      <c r="C1" s="372" t="s">
        <v>148</v>
      </c>
      <c r="D1" s="372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8" ht="15.75" thickBot="1" x14ac:dyDescent="0.3">
      <c r="E2" s="367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9"/>
    </row>
    <row r="3" spans="1:18" ht="35.25" thickTop="1" thickBot="1" x14ac:dyDescent="0.3">
      <c r="B3" s="47" t="s">
        <v>9</v>
      </c>
      <c r="C3" s="48" t="s">
        <v>10</v>
      </c>
      <c r="D3" s="48" t="s">
        <v>0</v>
      </c>
      <c r="E3" s="49" t="s">
        <v>11</v>
      </c>
      <c r="F3" s="50" t="s">
        <v>113</v>
      </c>
      <c r="G3" s="49" t="s">
        <v>12</v>
      </c>
      <c r="H3" s="49" t="s">
        <v>107</v>
      </c>
      <c r="I3" s="49" t="s">
        <v>143</v>
      </c>
      <c r="J3" s="49" t="s">
        <v>13</v>
      </c>
      <c r="K3" s="49" t="s">
        <v>15</v>
      </c>
      <c r="L3" s="49" t="s">
        <v>106</v>
      </c>
      <c r="M3" s="49" t="s">
        <v>16</v>
      </c>
      <c r="N3" s="49" t="s">
        <v>17</v>
      </c>
      <c r="O3" s="49" t="s">
        <v>72</v>
      </c>
      <c r="P3" s="48" t="s">
        <v>8</v>
      </c>
      <c r="Q3" s="48" t="s">
        <v>18</v>
      </c>
      <c r="R3" s="51" t="s">
        <v>73</v>
      </c>
    </row>
    <row r="4" spans="1:18" ht="15.75" thickTop="1" x14ac:dyDescent="0.25">
      <c r="B4" s="2" t="s">
        <v>19</v>
      </c>
      <c r="C4" s="2" t="s">
        <v>20</v>
      </c>
      <c r="D4" s="2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8" x14ac:dyDescent="0.25">
      <c r="B5" t="s">
        <v>21</v>
      </c>
      <c r="C5" s="11" t="s">
        <v>22</v>
      </c>
      <c r="D5" t="s">
        <v>25</v>
      </c>
      <c r="E5" s="15">
        <v>16954.95</v>
      </c>
      <c r="F5" s="15">
        <v>0</v>
      </c>
      <c r="G5" s="15">
        <f>E5+F5</f>
        <v>16954.95</v>
      </c>
      <c r="H5" s="15">
        <v>0</v>
      </c>
      <c r="I5" s="15">
        <v>3246.93</v>
      </c>
      <c r="J5" s="15">
        <f>I5-H5</f>
        <v>3246.93</v>
      </c>
      <c r="K5" s="15">
        <v>0</v>
      </c>
      <c r="L5" s="15">
        <v>0</v>
      </c>
      <c r="M5" s="15">
        <f>E5*0.105</f>
        <v>1780.2697499999999</v>
      </c>
      <c r="N5" s="15">
        <f>SUM(J5:M5)</f>
        <v>5027.1997499999998</v>
      </c>
      <c r="O5" s="18">
        <f>G5-N5</f>
        <v>11927.750250000001</v>
      </c>
      <c r="P5" s="10">
        <v>1223.77</v>
      </c>
      <c r="Q5" s="10">
        <v>2797.56</v>
      </c>
      <c r="R5" s="35">
        <f>SUM(P5:Q5)</f>
        <v>4021.33</v>
      </c>
    </row>
    <row r="6" spans="1:18" x14ac:dyDescent="0.25">
      <c r="B6" t="s">
        <v>23</v>
      </c>
      <c r="C6" s="11" t="s">
        <v>24</v>
      </c>
      <c r="D6" t="s">
        <v>3</v>
      </c>
      <c r="E6" s="15">
        <v>4850</v>
      </c>
      <c r="F6" s="15">
        <v>0</v>
      </c>
      <c r="G6" s="15">
        <f t="shared" ref="G6:G7" si="0">E6+F6</f>
        <v>4850</v>
      </c>
      <c r="H6" s="15">
        <v>0</v>
      </c>
      <c r="I6" s="15">
        <v>491.69</v>
      </c>
      <c r="J6" s="15">
        <f t="shared" ref="J6:J7" si="1">I6-H6</f>
        <v>491.69</v>
      </c>
      <c r="K6" s="15">
        <v>0</v>
      </c>
      <c r="L6" s="15">
        <v>0</v>
      </c>
      <c r="M6" s="15">
        <f>E6*0.105</f>
        <v>509.25</v>
      </c>
      <c r="N6" s="15">
        <f t="shared" ref="N6:N7" si="2">SUM(J6:M6)</f>
        <v>1000.94</v>
      </c>
      <c r="O6" s="18">
        <f>G6-N6</f>
        <v>3849.06</v>
      </c>
      <c r="P6" s="10">
        <v>480.14</v>
      </c>
      <c r="Q6" s="10">
        <v>800.25</v>
      </c>
      <c r="R6" s="35">
        <f t="shared" ref="R6:R7" si="3">SUM(P6:Q6)</f>
        <v>1280.3899999999999</v>
      </c>
    </row>
    <row r="7" spans="1:18" x14ac:dyDescent="0.25">
      <c r="B7" t="s">
        <v>41</v>
      </c>
      <c r="C7" s="11" t="s">
        <v>42</v>
      </c>
      <c r="D7" t="s">
        <v>2</v>
      </c>
      <c r="E7" s="15">
        <v>10000</v>
      </c>
      <c r="F7" s="15">
        <v>0</v>
      </c>
      <c r="G7" s="15">
        <f t="shared" si="0"/>
        <v>10000</v>
      </c>
      <c r="H7" s="15">
        <v>0</v>
      </c>
      <c r="I7" s="15">
        <v>1581.44</v>
      </c>
      <c r="J7" s="15">
        <f t="shared" si="1"/>
        <v>1581.44</v>
      </c>
      <c r="K7" s="15">
        <v>0</v>
      </c>
      <c r="L7" s="15">
        <v>0</v>
      </c>
      <c r="M7" s="15">
        <f>E7*0.105</f>
        <v>1050</v>
      </c>
      <c r="N7" s="15">
        <f t="shared" si="2"/>
        <v>2631.44</v>
      </c>
      <c r="O7" s="18">
        <f>G7-N7</f>
        <v>7368.5599999999995</v>
      </c>
      <c r="P7" s="10">
        <v>796.52</v>
      </c>
      <c r="Q7" s="10">
        <v>1650</v>
      </c>
      <c r="R7" s="35">
        <f t="shared" si="3"/>
        <v>2446.52</v>
      </c>
    </row>
    <row r="8" spans="1:18" x14ac:dyDescent="0.25">
      <c r="A8" t="s">
        <v>135</v>
      </c>
      <c r="B8" s="7" t="s">
        <v>26</v>
      </c>
      <c r="E8" s="34">
        <f>SUM(E5:E7)</f>
        <v>31804.95</v>
      </c>
      <c r="F8" s="34">
        <f>SUM(F5:F7)</f>
        <v>0</v>
      </c>
      <c r="G8" s="34">
        <f>SUM(G5:G7)</f>
        <v>31804.95</v>
      </c>
      <c r="H8" s="34">
        <f t="shared" ref="H8:R8" si="4">SUM(H5:H7)</f>
        <v>0</v>
      </c>
      <c r="I8" s="34">
        <f t="shared" si="4"/>
        <v>5320.0599999999995</v>
      </c>
      <c r="J8" s="34">
        <f t="shared" si="4"/>
        <v>5320.0599999999995</v>
      </c>
      <c r="K8" s="34">
        <f t="shared" si="4"/>
        <v>0</v>
      </c>
      <c r="L8" s="34">
        <f t="shared" si="4"/>
        <v>0</v>
      </c>
      <c r="M8" s="34">
        <f t="shared" si="4"/>
        <v>3339.5197499999999</v>
      </c>
      <c r="N8" s="34">
        <f t="shared" si="4"/>
        <v>8659.5797500000008</v>
      </c>
      <c r="O8" s="34">
        <f t="shared" si="4"/>
        <v>23145.37025</v>
      </c>
      <c r="P8" s="34">
        <f t="shared" si="4"/>
        <v>2500.4299999999998</v>
      </c>
      <c r="Q8" s="34">
        <f t="shared" si="4"/>
        <v>5247.8099999999995</v>
      </c>
      <c r="R8" s="34">
        <f t="shared" si="4"/>
        <v>7748.24</v>
      </c>
    </row>
    <row r="9" spans="1:18" x14ac:dyDescent="0.25"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8" x14ac:dyDescent="0.25">
      <c r="B10" s="2" t="s">
        <v>27</v>
      </c>
      <c r="C10" s="2" t="s">
        <v>28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8" x14ac:dyDescent="0.25">
      <c r="B11" t="s">
        <v>32</v>
      </c>
      <c r="C11" s="11" t="s">
        <v>37</v>
      </c>
      <c r="D11" t="s">
        <v>1</v>
      </c>
      <c r="E11" s="15">
        <v>10000</v>
      </c>
      <c r="F11" s="15">
        <v>0</v>
      </c>
      <c r="G11" s="15">
        <f>E11+F11</f>
        <v>10000</v>
      </c>
      <c r="H11" s="15">
        <v>0</v>
      </c>
      <c r="I11" s="15">
        <v>1581.44</v>
      </c>
      <c r="J11" s="15">
        <f>I11-H11</f>
        <v>1581.44</v>
      </c>
      <c r="K11" s="15">
        <v>0</v>
      </c>
      <c r="L11" s="15">
        <v>0</v>
      </c>
      <c r="M11" s="15">
        <f t="shared" ref="M11:M18" si="5">E11*0.105</f>
        <v>1050</v>
      </c>
      <c r="N11" s="15">
        <f t="shared" ref="N11:N16" si="6">SUM(J11:M11)</f>
        <v>2631.44</v>
      </c>
      <c r="O11" s="18">
        <f t="shared" ref="O11:O18" si="7">G11-N11</f>
        <v>7368.5599999999995</v>
      </c>
      <c r="P11" s="10">
        <v>796.52</v>
      </c>
      <c r="Q11" s="10">
        <v>1650</v>
      </c>
      <c r="R11" s="35">
        <f>P11+Q11</f>
        <v>2446.52</v>
      </c>
    </row>
    <row r="12" spans="1:18" x14ac:dyDescent="0.25">
      <c r="B12" t="s">
        <v>33</v>
      </c>
      <c r="C12" s="11" t="s">
        <v>38</v>
      </c>
      <c r="D12" t="s">
        <v>74</v>
      </c>
      <c r="E12" s="15">
        <v>5350</v>
      </c>
      <c r="F12" s="19">
        <v>0</v>
      </c>
      <c r="G12" s="15">
        <f t="shared" ref="G12:G18" si="8">E12+F12</f>
        <v>5350</v>
      </c>
      <c r="H12" s="15">
        <v>0</v>
      </c>
      <c r="I12" s="15">
        <v>588.20000000000005</v>
      </c>
      <c r="J12" s="15">
        <f t="shared" ref="J12:J16" si="9">I12-H12</f>
        <v>588.20000000000005</v>
      </c>
      <c r="K12" s="15">
        <v>0</v>
      </c>
      <c r="L12" s="15">
        <v>0</v>
      </c>
      <c r="M12" s="15">
        <f t="shared" si="5"/>
        <v>561.75</v>
      </c>
      <c r="N12" s="15">
        <f t="shared" si="6"/>
        <v>1149.95</v>
      </c>
      <c r="O12" s="18">
        <f t="shared" si="7"/>
        <v>4200.05</v>
      </c>
      <c r="P12" s="10">
        <v>510.86</v>
      </c>
      <c r="Q12" s="10">
        <v>882.75</v>
      </c>
      <c r="R12" s="35">
        <f>P12+Q12</f>
        <v>1393.6100000000001</v>
      </c>
    </row>
    <row r="13" spans="1:18" x14ac:dyDescent="0.25">
      <c r="B13" t="s">
        <v>34</v>
      </c>
      <c r="C13" t="s">
        <v>141</v>
      </c>
      <c r="D13" t="s">
        <v>75</v>
      </c>
      <c r="E13" s="21">
        <v>5350</v>
      </c>
      <c r="F13" s="3">
        <v>0</v>
      </c>
      <c r="G13" s="15">
        <f t="shared" si="8"/>
        <v>5350</v>
      </c>
      <c r="H13" s="3">
        <v>0</v>
      </c>
      <c r="I13" s="3">
        <v>588.20000000000005</v>
      </c>
      <c r="J13" s="15">
        <f t="shared" si="9"/>
        <v>588.20000000000005</v>
      </c>
      <c r="K13" s="3">
        <v>0</v>
      </c>
      <c r="L13" s="3">
        <v>0</v>
      </c>
      <c r="M13" s="15">
        <f t="shared" si="5"/>
        <v>561.75</v>
      </c>
      <c r="N13" s="15">
        <f t="shared" si="6"/>
        <v>1149.95</v>
      </c>
      <c r="O13" s="18">
        <f t="shared" si="7"/>
        <v>4200.05</v>
      </c>
      <c r="P13" s="27">
        <v>510.86</v>
      </c>
      <c r="Q13" s="27">
        <v>882.75</v>
      </c>
      <c r="R13" s="35">
        <f>P13+Q13</f>
        <v>1393.6100000000001</v>
      </c>
    </row>
    <row r="14" spans="1:18" x14ac:dyDescent="0.25">
      <c r="B14" t="s">
        <v>35</v>
      </c>
      <c r="C14" t="s">
        <v>111</v>
      </c>
      <c r="D14" t="s">
        <v>77</v>
      </c>
      <c r="E14" s="15">
        <v>6000</v>
      </c>
      <c r="F14" s="15">
        <v>0</v>
      </c>
      <c r="G14" s="15">
        <f t="shared" si="8"/>
        <v>6000</v>
      </c>
      <c r="H14" s="15">
        <v>0</v>
      </c>
      <c r="I14" s="15">
        <v>727.04</v>
      </c>
      <c r="J14" s="15">
        <f t="shared" si="9"/>
        <v>727.04</v>
      </c>
      <c r="K14" s="15">
        <v>0</v>
      </c>
      <c r="L14" s="15">
        <v>0</v>
      </c>
      <c r="M14" s="15">
        <f t="shared" si="5"/>
        <v>630</v>
      </c>
      <c r="N14" s="15">
        <f t="shared" si="6"/>
        <v>1357.04</v>
      </c>
      <c r="O14" s="18">
        <f t="shared" si="7"/>
        <v>4642.96</v>
      </c>
      <c r="P14" s="10">
        <v>550.79</v>
      </c>
      <c r="Q14" s="10">
        <v>990</v>
      </c>
      <c r="R14" s="35">
        <f>P14+Q14</f>
        <v>1540.79</v>
      </c>
    </row>
    <row r="15" spans="1:18" x14ac:dyDescent="0.25">
      <c r="B15" t="s">
        <v>36</v>
      </c>
      <c r="C15" t="s">
        <v>86</v>
      </c>
      <c r="D15" t="s">
        <v>39</v>
      </c>
      <c r="E15" s="15">
        <v>4500</v>
      </c>
      <c r="F15" s="15">
        <v>0</v>
      </c>
      <c r="G15" s="15">
        <f t="shared" si="8"/>
        <v>4500</v>
      </c>
      <c r="H15" s="15">
        <v>0</v>
      </c>
      <c r="I15" s="15">
        <v>428.97</v>
      </c>
      <c r="J15" s="15">
        <f t="shared" si="9"/>
        <v>428.97</v>
      </c>
      <c r="K15" s="15">
        <v>0</v>
      </c>
      <c r="L15" s="15">
        <v>0</v>
      </c>
      <c r="M15" s="15">
        <f t="shared" si="5"/>
        <v>472.5</v>
      </c>
      <c r="N15" s="15">
        <f t="shared" si="6"/>
        <v>901.47</v>
      </c>
      <c r="O15" s="18">
        <f t="shared" si="7"/>
        <v>3598.5299999999997</v>
      </c>
      <c r="P15" s="10">
        <v>489.36</v>
      </c>
      <c r="Q15" s="10">
        <v>825</v>
      </c>
      <c r="R15" s="35">
        <f>P15+Q15</f>
        <v>1314.3600000000001</v>
      </c>
    </row>
    <row r="16" spans="1:18" x14ac:dyDescent="0.25">
      <c r="B16" t="s">
        <v>115</v>
      </c>
      <c r="C16" t="s">
        <v>87</v>
      </c>
      <c r="D16" t="s">
        <v>39</v>
      </c>
      <c r="E16" s="15">
        <v>4500</v>
      </c>
      <c r="F16" s="15">
        <v>0</v>
      </c>
      <c r="G16" s="15">
        <f t="shared" si="8"/>
        <v>4500</v>
      </c>
      <c r="H16" s="15">
        <v>0</v>
      </c>
      <c r="I16" s="15">
        <v>428.97</v>
      </c>
      <c r="J16" s="15">
        <f t="shared" si="9"/>
        <v>428.97</v>
      </c>
      <c r="K16" s="15">
        <v>0</v>
      </c>
      <c r="L16" s="15">
        <v>0</v>
      </c>
      <c r="M16" s="15">
        <f t="shared" si="5"/>
        <v>472.5</v>
      </c>
      <c r="N16" s="15">
        <f t="shared" si="6"/>
        <v>901.47</v>
      </c>
      <c r="O16" s="18">
        <f t="shared" si="7"/>
        <v>3598.5299999999997</v>
      </c>
      <c r="P16" s="10">
        <v>458.64</v>
      </c>
      <c r="Q16" s="10">
        <v>742.5</v>
      </c>
      <c r="R16" s="35">
        <f t="shared" ref="R16:R18" si="10">P16+Q16</f>
        <v>1201.1399999999999</v>
      </c>
    </row>
    <row r="17" spans="1:18" x14ac:dyDescent="0.25">
      <c r="B17" t="s">
        <v>116</v>
      </c>
      <c r="C17" t="s">
        <v>89</v>
      </c>
      <c r="D17" t="s">
        <v>4</v>
      </c>
      <c r="E17" s="15">
        <v>2700</v>
      </c>
      <c r="F17" s="15">
        <v>0</v>
      </c>
      <c r="G17" s="15">
        <f t="shared" si="8"/>
        <v>2700</v>
      </c>
      <c r="H17" s="15">
        <v>147.32</v>
      </c>
      <c r="I17" s="15">
        <v>188.33</v>
      </c>
      <c r="J17" s="15">
        <f>I17-H17</f>
        <v>41.010000000000019</v>
      </c>
      <c r="K17" s="15">
        <v>0</v>
      </c>
      <c r="L17" s="15">
        <v>0</v>
      </c>
      <c r="M17" s="15">
        <f t="shared" si="5"/>
        <v>283.5</v>
      </c>
      <c r="N17" s="15">
        <f>SUM(J17:M17)</f>
        <v>324.51</v>
      </c>
      <c r="O17" s="18">
        <f t="shared" si="7"/>
        <v>2375.4899999999998</v>
      </c>
      <c r="P17" s="10">
        <v>348.07</v>
      </c>
      <c r="Q17" s="10">
        <v>445.5</v>
      </c>
      <c r="R17" s="35">
        <f t="shared" si="10"/>
        <v>793.56999999999994</v>
      </c>
    </row>
    <row r="18" spans="1:18" x14ac:dyDescent="0.25">
      <c r="B18" t="s">
        <v>117</v>
      </c>
      <c r="C18" t="s">
        <v>88</v>
      </c>
      <c r="D18" t="s">
        <v>40</v>
      </c>
      <c r="E18" s="15">
        <v>3150</v>
      </c>
      <c r="F18" s="15">
        <v>0</v>
      </c>
      <c r="G18" s="15">
        <f t="shared" si="8"/>
        <v>3150</v>
      </c>
      <c r="H18" s="15">
        <v>126.77</v>
      </c>
      <c r="I18" s="15">
        <v>237.29</v>
      </c>
      <c r="J18" s="15">
        <f>I18-H18</f>
        <v>110.52</v>
      </c>
      <c r="K18" s="15">
        <v>0</v>
      </c>
      <c r="L18" s="15">
        <v>0</v>
      </c>
      <c r="M18" s="15">
        <f t="shared" si="5"/>
        <v>330.75</v>
      </c>
      <c r="N18" s="15">
        <f>SUM(J18:M18)</f>
        <v>441.27</v>
      </c>
      <c r="O18" s="18">
        <f t="shared" si="7"/>
        <v>2708.73</v>
      </c>
      <c r="P18" s="10">
        <v>375.71</v>
      </c>
      <c r="Q18" s="10">
        <v>519.75</v>
      </c>
      <c r="R18" s="35">
        <f t="shared" si="10"/>
        <v>895.46</v>
      </c>
    </row>
    <row r="19" spans="1:18" x14ac:dyDescent="0.25">
      <c r="A19" t="s">
        <v>136</v>
      </c>
      <c r="B19" s="2" t="s">
        <v>26</v>
      </c>
      <c r="E19" s="34">
        <f t="shared" ref="E19:R19" si="11">SUM(E11:E18)</f>
        <v>41550</v>
      </c>
      <c r="F19" s="34">
        <f t="shared" si="11"/>
        <v>0</v>
      </c>
      <c r="G19" s="34">
        <f t="shared" si="11"/>
        <v>41550</v>
      </c>
      <c r="H19" s="34">
        <f t="shared" si="11"/>
        <v>274.08999999999997</v>
      </c>
      <c r="I19" s="34">
        <f t="shared" si="11"/>
        <v>4768.4400000000005</v>
      </c>
      <c r="J19" s="34">
        <f t="shared" si="11"/>
        <v>4494.3500000000013</v>
      </c>
      <c r="K19" s="34">
        <f t="shared" si="11"/>
        <v>0</v>
      </c>
      <c r="L19" s="34">
        <f t="shared" si="11"/>
        <v>0</v>
      </c>
      <c r="M19" s="34">
        <f t="shared" si="11"/>
        <v>4362.75</v>
      </c>
      <c r="N19" s="34">
        <f t="shared" si="11"/>
        <v>8857.1</v>
      </c>
      <c r="O19" s="34">
        <f t="shared" si="11"/>
        <v>32692.899999999998</v>
      </c>
      <c r="P19" s="34">
        <f t="shared" si="11"/>
        <v>4040.8100000000004</v>
      </c>
      <c r="Q19" s="34">
        <f t="shared" si="11"/>
        <v>6938.25</v>
      </c>
      <c r="R19" s="34">
        <f t="shared" si="11"/>
        <v>10979.059999999998</v>
      </c>
    </row>
    <row r="20" spans="1:18" x14ac:dyDescent="0.25">
      <c r="B20" s="2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8" x14ac:dyDescent="0.25">
      <c r="B21" s="2" t="s">
        <v>43</v>
      </c>
      <c r="C21" s="2" t="s">
        <v>44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8" x14ac:dyDescent="0.25">
      <c r="B22" t="s">
        <v>118</v>
      </c>
      <c r="C22" t="s">
        <v>90</v>
      </c>
      <c r="D22" t="s">
        <v>6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f>I22-H22</f>
        <v>0</v>
      </c>
      <c r="K22" s="15">
        <v>0</v>
      </c>
      <c r="L22" s="15">
        <v>0</v>
      </c>
      <c r="M22" s="15">
        <f>E22*0.105</f>
        <v>0</v>
      </c>
      <c r="N22" s="15">
        <f>SUM(J22:M22)</f>
        <v>0</v>
      </c>
      <c r="O22" s="18">
        <v>0</v>
      </c>
      <c r="P22" s="36">
        <v>0</v>
      </c>
      <c r="Q22" s="36">
        <v>0</v>
      </c>
      <c r="R22" s="35">
        <v>0</v>
      </c>
    </row>
    <row r="23" spans="1:18" x14ac:dyDescent="0.25">
      <c r="B23" t="s">
        <v>119</v>
      </c>
      <c r="C23" t="s">
        <v>91</v>
      </c>
      <c r="D23" t="s">
        <v>76</v>
      </c>
      <c r="E23" s="15">
        <v>5350</v>
      </c>
      <c r="F23" s="15">
        <v>0</v>
      </c>
      <c r="G23" s="15">
        <f>E23+F23</f>
        <v>5350</v>
      </c>
      <c r="H23" s="15">
        <v>0</v>
      </c>
      <c r="I23" s="15">
        <v>588.20000000000005</v>
      </c>
      <c r="J23" s="15">
        <f>I23-H23</f>
        <v>588.20000000000005</v>
      </c>
      <c r="K23" s="15">
        <v>0</v>
      </c>
      <c r="L23" s="15">
        <v>0</v>
      </c>
      <c r="M23" s="15">
        <f>E23*0.105</f>
        <v>561.75</v>
      </c>
      <c r="N23" s="15">
        <f>SUM(J23:M23)</f>
        <v>1149.95</v>
      </c>
      <c r="O23" s="18">
        <f>G23-N23</f>
        <v>4200.05</v>
      </c>
      <c r="P23" s="10">
        <v>510.86</v>
      </c>
      <c r="Q23" s="10">
        <v>882.75</v>
      </c>
      <c r="R23" s="35">
        <f>P23+Q23</f>
        <v>1393.6100000000001</v>
      </c>
    </row>
    <row r="24" spans="1:18" x14ac:dyDescent="0.25">
      <c r="A24" t="s">
        <v>134</v>
      </c>
      <c r="B24" s="2" t="s">
        <v>26</v>
      </c>
      <c r="E24" s="34">
        <f>SUM(E22:E23)</f>
        <v>5350</v>
      </c>
      <c r="F24" s="34">
        <f>F23</f>
        <v>0</v>
      </c>
      <c r="G24" s="34">
        <f>SUM(G22:G23)</f>
        <v>5350</v>
      </c>
      <c r="H24" s="34">
        <f t="shared" ref="H24:R24" si="12">SUM(H22:H23)</f>
        <v>0</v>
      </c>
      <c r="I24" s="34">
        <f t="shared" si="12"/>
        <v>588.20000000000005</v>
      </c>
      <c r="J24" s="34">
        <f t="shared" si="12"/>
        <v>588.20000000000005</v>
      </c>
      <c r="K24" s="34">
        <f t="shared" si="12"/>
        <v>0</v>
      </c>
      <c r="L24" s="34">
        <f t="shared" si="12"/>
        <v>0</v>
      </c>
      <c r="M24" s="34">
        <f t="shared" si="12"/>
        <v>561.75</v>
      </c>
      <c r="N24" s="34">
        <f t="shared" si="12"/>
        <v>1149.95</v>
      </c>
      <c r="O24" s="34">
        <f t="shared" si="12"/>
        <v>4200.05</v>
      </c>
      <c r="P24" s="34">
        <f t="shared" si="12"/>
        <v>510.86</v>
      </c>
      <c r="Q24" s="34">
        <f t="shared" si="12"/>
        <v>882.75</v>
      </c>
      <c r="R24" s="34">
        <f t="shared" si="12"/>
        <v>1393.6100000000001</v>
      </c>
    </row>
    <row r="25" spans="1:18" x14ac:dyDescent="0.25"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8" x14ac:dyDescent="0.25">
      <c r="B26" s="2" t="s">
        <v>50</v>
      </c>
      <c r="C26" s="2" t="s">
        <v>47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8" x14ac:dyDescent="0.25">
      <c r="B27" t="s">
        <v>120</v>
      </c>
      <c r="C27" t="s">
        <v>93</v>
      </c>
      <c r="D27" t="s">
        <v>78</v>
      </c>
      <c r="E27" s="15">
        <v>5350</v>
      </c>
      <c r="F27" s="15">
        <v>0</v>
      </c>
      <c r="G27" s="15">
        <f>E27+F27</f>
        <v>5350</v>
      </c>
      <c r="H27" s="15">
        <v>0</v>
      </c>
      <c r="I27" s="15">
        <v>588.20000000000005</v>
      </c>
      <c r="J27" s="15">
        <f>I27-H27</f>
        <v>588.20000000000005</v>
      </c>
      <c r="K27" s="15">
        <v>0</v>
      </c>
      <c r="L27" s="15">
        <v>0</v>
      </c>
      <c r="M27" s="15">
        <f>E27*0.105</f>
        <v>561.75</v>
      </c>
      <c r="N27" s="15">
        <f>SUM(J27:M27)</f>
        <v>1149.95</v>
      </c>
      <c r="O27" s="18">
        <f>G27-N27</f>
        <v>4200.05</v>
      </c>
      <c r="P27" s="10">
        <v>510.86</v>
      </c>
      <c r="Q27" s="10">
        <v>882.75</v>
      </c>
      <c r="R27" s="35">
        <f>P27+Q27</f>
        <v>1393.6100000000001</v>
      </c>
    </row>
    <row r="28" spans="1:18" x14ac:dyDescent="0.25">
      <c r="B28" t="s">
        <v>121</v>
      </c>
      <c r="C28" t="s">
        <v>114</v>
      </c>
      <c r="D28" t="s">
        <v>79</v>
      </c>
      <c r="E28" s="15">
        <v>5350</v>
      </c>
      <c r="F28" s="15">
        <v>0</v>
      </c>
      <c r="G28" s="15">
        <f>E28+F28</f>
        <v>5350</v>
      </c>
      <c r="H28" s="15">
        <v>0</v>
      </c>
      <c r="I28" s="15">
        <v>588.20000000000005</v>
      </c>
      <c r="J28" s="15">
        <f>I28-H28</f>
        <v>588.20000000000005</v>
      </c>
      <c r="K28" s="15">
        <v>0</v>
      </c>
      <c r="L28" s="15">
        <v>0</v>
      </c>
      <c r="M28" s="15">
        <f>E28*0.105</f>
        <v>561.75</v>
      </c>
      <c r="N28" s="15">
        <f>SUM(J28:M28)</f>
        <v>1149.95</v>
      </c>
      <c r="O28" s="18">
        <f>G28-N28</f>
        <v>4200.05</v>
      </c>
      <c r="P28" s="10">
        <v>510.86</v>
      </c>
      <c r="Q28" s="10">
        <v>882.75</v>
      </c>
      <c r="R28" s="35">
        <f>P28+Q28</f>
        <v>1393.6100000000001</v>
      </c>
    </row>
    <row r="29" spans="1:18" x14ac:dyDescent="0.25">
      <c r="A29" t="s">
        <v>137</v>
      </c>
      <c r="B29" s="2" t="s">
        <v>26</v>
      </c>
      <c r="E29" s="34">
        <f>SUM(E27:E28)</f>
        <v>10700</v>
      </c>
      <c r="F29" s="34">
        <f>SUM(F27:F28)</f>
        <v>0</v>
      </c>
      <c r="G29" s="34">
        <f>SUM(G27:G28)</f>
        <v>10700</v>
      </c>
      <c r="H29" s="34">
        <f t="shared" ref="H29:R29" si="13">SUM(H27:H28)</f>
        <v>0</v>
      </c>
      <c r="I29" s="34">
        <f t="shared" si="13"/>
        <v>1176.4000000000001</v>
      </c>
      <c r="J29" s="34">
        <f t="shared" si="13"/>
        <v>1176.4000000000001</v>
      </c>
      <c r="K29" s="34">
        <f t="shared" si="13"/>
        <v>0</v>
      </c>
      <c r="L29" s="34">
        <f t="shared" si="13"/>
        <v>0</v>
      </c>
      <c r="M29" s="34">
        <f t="shared" si="13"/>
        <v>1123.5</v>
      </c>
      <c r="N29" s="34">
        <f t="shared" si="13"/>
        <v>2299.9</v>
      </c>
      <c r="O29" s="34">
        <f t="shared" si="13"/>
        <v>8400.1</v>
      </c>
      <c r="P29" s="34">
        <f t="shared" si="13"/>
        <v>1021.72</v>
      </c>
      <c r="Q29" s="34">
        <f t="shared" si="13"/>
        <v>1765.5</v>
      </c>
      <c r="R29" s="34">
        <f t="shared" si="13"/>
        <v>2787.2200000000003</v>
      </c>
    </row>
    <row r="30" spans="1:18" x14ac:dyDescent="0.25"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8" x14ac:dyDescent="0.25">
      <c r="B31" s="2" t="s">
        <v>63</v>
      </c>
      <c r="C31" s="2" t="s">
        <v>51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8" x14ac:dyDescent="0.25">
      <c r="B32" t="s">
        <v>122</v>
      </c>
      <c r="C32" t="s">
        <v>97</v>
      </c>
      <c r="D32" t="s">
        <v>80</v>
      </c>
      <c r="E32" s="15">
        <v>5350</v>
      </c>
      <c r="F32" s="15">
        <v>0</v>
      </c>
      <c r="G32" s="15">
        <f>E32+F32</f>
        <v>5350</v>
      </c>
      <c r="H32" s="15">
        <v>0</v>
      </c>
      <c r="I32" s="15">
        <v>588.20000000000005</v>
      </c>
      <c r="J32" s="15">
        <f>I32-H32</f>
        <v>588.20000000000005</v>
      </c>
      <c r="K32" s="15">
        <v>0</v>
      </c>
      <c r="L32" s="15">
        <v>0</v>
      </c>
      <c r="M32" s="15">
        <f t="shared" ref="M32:M42" si="14">E32*0.105</f>
        <v>561.75</v>
      </c>
      <c r="N32" s="15">
        <f>SUM(J32:M32)</f>
        <v>1149.95</v>
      </c>
      <c r="O32" s="18">
        <f t="shared" ref="O32:O42" si="15">G32-N32</f>
        <v>4200.05</v>
      </c>
      <c r="P32" s="10">
        <v>510.86</v>
      </c>
      <c r="Q32" s="10">
        <v>882.75</v>
      </c>
      <c r="R32" s="35">
        <f t="shared" ref="R32:R42" si="16">P32+Q32</f>
        <v>1393.6100000000001</v>
      </c>
    </row>
    <row r="33" spans="1:18" x14ac:dyDescent="0.25">
      <c r="B33" t="s">
        <v>123</v>
      </c>
      <c r="C33" t="s">
        <v>100</v>
      </c>
      <c r="D33" t="s">
        <v>80</v>
      </c>
      <c r="E33" s="15">
        <v>5350</v>
      </c>
      <c r="F33" s="15">
        <v>0</v>
      </c>
      <c r="G33" s="15">
        <f t="shared" ref="G33:G42" si="17">E33+F33</f>
        <v>5350</v>
      </c>
      <c r="H33" s="15">
        <v>0</v>
      </c>
      <c r="I33" s="15">
        <v>588.20000000000005</v>
      </c>
      <c r="J33" s="15">
        <f t="shared" ref="J33:J42" si="18">I33-H33</f>
        <v>588.20000000000005</v>
      </c>
      <c r="K33" s="15">
        <v>0</v>
      </c>
      <c r="L33" s="15">
        <v>0</v>
      </c>
      <c r="M33" s="15">
        <f t="shared" si="14"/>
        <v>561.75</v>
      </c>
      <c r="N33" s="15">
        <f t="shared" ref="N33:N42" si="19">SUM(J33:M33)</f>
        <v>1149.95</v>
      </c>
      <c r="O33" s="18">
        <f t="shared" si="15"/>
        <v>4200.05</v>
      </c>
      <c r="P33" s="10">
        <v>510.86</v>
      </c>
      <c r="Q33" s="10">
        <v>882.75</v>
      </c>
      <c r="R33" s="35">
        <f t="shared" si="16"/>
        <v>1393.6100000000001</v>
      </c>
    </row>
    <row r="34" spans="1:18" x14ac:dyDescent="0.25">
      <c r="B34" t="s">
        <v>124</v>
      </c>
      <c r="C34" t="s">
        <v>96</v>
      </c>
      <c r="D34" t="s">
        <v>78</v>
      </c>
      <c r="E34" s="15">
        <v>5350</v>
      </c>
      <c r="F34" s="15">
        <v>0</v>
      </c>
      <c r="G34" s="15">
        <f t="shared" si="17"/>
        <v>5350</v>
      </c>
      <c r="H34" s="15">
        <v>0</v>
      </c>
      <c r="I34" s="15">
        <v>588.20000000000005</v>
      </c>
      <c r="J34" s="15">
        <f t="shared" si="18"/>
        <v>588.20000000000005</v>
      </c>
      <c r="K34" s="15">
        <v>0</v>
      </c>
      <c r="L34" s="15">
        <v>0</v>
      </c>
      <c r="M34" s="15">
        <f t="shared" si="14"/>
        <v>561.75</v>
      </c>
      <c r="N34" s="15">
        <f t="shared" si="19"/>
        <v>1149.95</v>
      </c>
      <c r="O34" s="18">
        <f t="shared" si="15"/>
        <v>4200.05</v>
      </c>
      <c r="P34" s="10">
        <v>510.86</v>
      </c>
      <c r="Q34" s="10">
        <v>882.75</v>
      </c>
      <c r="R34" s="35">
        <f t="shared" si="16"/>
        <v>1393.6100000000001</v>
      </c>
    </row>
    <row r="35" spans="1:18" x14ac:dyDescent="0.25">
      <c r="B35" t="s">
        <v>125</v>
      </c>
      <c r="C35" t="s">
        <v>104</v>
      </c>
      <c r="D35" t="s">
        <v>78</v>
      </c>
      <c r="E35" s="15">
        <v>5350</v>
      </c>
      <c r="F35" s="15">
        <v>0</v>
      </c>
      <c r="G35" s="15">
        <f t="shared" si="17"/>
        <v>5350</v>
      </c>
      <c r="H35" s="15">
        <v>0</v>
      </c>
      <c r="I35" s="15">
        <v>588.20000000000005</v>
      </c>
      <c r="J35" s="15">
        <f t="shared" si="18"/>
        <v>588.20000000000005</v>
      </c>
      <c r="K35" s="15">
        <v>0</v>
      </c>
      <c r="L35" s="15">
        <v>0</v>
      </c>
      <c r="M35" s="15">
        <f t="shared" si="14"/>
        <v>561.75</v>
      </c>
      <c r="N35" s="15">
        <f t="shared" si="19"/>
        <v>1149.95</v>
      </c>
      <c r="O35" s="18">
        <f t="shared" si="15"/>
        <v>4200.05</v>
      </c>
      <c r="P35" s="10">
        <v>510.86</v>
      </c>
      <c r="Q35" s="10">
        <v>882.75</v>
      </c>
      <c r="R35" s="35">
        <f t="shared" si="16"/>
        <v>1393.6100000000001</v>
      </c>
    </row>
    <row r="36" spans="1:18" x14ac:dyDescent="0.25">
      <c r="B36" t="s">
        <v>126</v>
      </c>
      <c r="C36" t="s">
        <v>94</v>
      </c>
      <c r="D36" t="s">
        <v>81</v>
      </c>
      <c r="E36" s="15">
        <v>5350</v>
      </c>
      <c r="F36" s="15">
        <v>0</v>
      </c>
      <c r="G36" s="15">
        <f t="shared" si="17"/>
        <v>5350</v>
      </c>
      <c r="H36" s="15">
        <v>0</v>
      </c>
      <c r="I36" s="15">
        <v>588.20000000000005</v>
      </c>
      <c r="J36" s="15">
        <f t="shared" si="18"/>
        <v>588.20000000000005</v>
      </c>
      <c r="K36" s="15">
        <v>0</v>
      </c>
      <c r="L36" s="15">
        <v>0</v>
      </c>
      <c r="M36" s="15">
        <f t="shared" si="14"/>
        <v>561.75</v>
      </c>
      <c r="N36" s="15">
        <f t="shared" si="19"/>
        <v>1149.95</v>
      </c>
      <c r="O36" s="18">
        <f t="shared" si="15"/>
        <v>4200.05</v>
      </c>
      <c r="P36" s="10">
        <v>510.86</v>
      </c>
      <c r="Q36" s="10">
        <v>882.75</v>
      </c>
      <c r="R36" s="35">
        <f t="shared" si="16"/>
        <v>1393.6100000000001</v>
      </c>
    </row>
    <row r="37" spans="1:18" x14ac:dyDescent="0.25">
      <c r="B37" t="s">
        <v>127</v>
      </c>
      <c r="C37" t="s">
        <v>98</v>
      </c>
      <c r="D37" t="s">
        <v>81</v>
      </c>
      <c r="E37" s="15">
        <v>5350</v>
      </c>
      <c r="F37" s="15">
        <v>0</v>
      </c>
      <c r="G37" s="15">
        <f t="shared" si="17"/>
        <v>5350</v>
      </c>
      <c r="H37" s="15">
        <v>0</v>
      </c>
      <c r="I37" s="15">
        <v>588.20000000000005</v>
      </c>
      <c r="J37" s="15">
        <f t="shared" si="18"/>
        <v>588.20000000000005</v>
      </c>
      <c r="K37" s="15">
        <v>0</v>
      </c>
      <c r="L37" s="15">
        <v>0</v>
      </c>
      <c r="M37" s="15">
        <f t="shared" si="14"/>
        <v>561.75</v>
      </c>
      <c r="N37" s="15">
        <f t="shared" si="19"/>
        <v>1149.95</v>
      </c>
      <c r="O37" s="18">
        <f t="shared" si="15"/>
        <v>4200.05</v>
      </c>
      <c r="P37" s="10">
        <v>510.86</v>
      </c>
      <c r="Q37" s="10">
        <v>882.75</v>
      </c>
      <c r="R37" s="35">
        <f t="shared" si="16"/>
        <v>1393.6100000000001</v>
      </c>
    </row>
    <row r="38" spans="1:18" x14ac:dyDescent="0.25">
      <c r="B38" t="s">
        <v>128</v>
      </c>
      <c r="C38" t="s">
        <v>101</v>
      </c>
      <c r="D38" t="s">
        <v>81</v>
      </c>
      <c r="E38" s="15">
        <v>5350</v>
      </c>
      <c r="F38" s="15">
        <v>0</v>
      </c>
      <c r="G38" s="15">
        <f t="shared" si="17"/>
        <v>5350</v>
      </c>
      <c r="H38" s="15">
        <v>0</v>
      </c>
      <c r="I38" s="15">
        <v>588.20000000000005</v>
      </c>
      <c r="J38" s="15">
        <f t="shared" si="18"/>
        <v>588.20000000000005</v>
      </c>
      <c r="K38" s="15">
        <v>0</v>
      </c>
      <c r="L38" s="15">
        <v>0</v>
      </c>
      <c r="M38" s="15">
        <f t="shared" si="14"/>
        <v>561.75</v>
      </c>
      <c r="N38" s="15">
        <f t="shared" si="19"/>
        <v>1149.95</v>
      </c>
      <c r="O38" s="18">
        <f t="shared" si="15"/>
        <v>4200.05</v>
      </c>
      <c r="P38" s="10">
        <v>510.86</v>
      </c>
      <c r="Q38" s="10">
        <v>882.75</v>
      </c>
      <c r="R38" s="35">
        <f t="shared" si="16"/>
        <v>1393.6100000000001</v>
      </c>
    </row>
    <row r="39" spans="1:18" x14ac:dyDescent="0.25">
      <c r="B39" t="s">
        <v>129</v>
      </c>
      <c r="C39" t="s">
        <v>95</v>
      </c>
      <c r="D39" t="s">
        <v>82</v>
      </c>
      <c r="E39" s="15">
        <v>5350</v>
      </c>
      <c r="F39" s="15">
        <v>0</v>
      </c>
      <c r="G39" s="15">
        <f t="shared" si="17"/>
        <v>5350</v>
      </c>
      <c r="H39" s="15">
        <v>0</v>
      </c>
      <c r="I39" s="15">
        <v>588.20000000000005</v>
      </c>
      <c r="J39" s="15">
        <f t="shared" si="18"/>
        <v>588.20000000000005</v>
      </c>
      <c r="K39" s="15">
        <v>0</v>
      </c>
      <c r="L39" s="15">
        <v>0</v>
      </c>
      <c r="M39" s="15">
        <f t="shared" si="14"/>
        <v>561.75</v>
      </c>
      <c r="N39" s="15">
        <f t="shared" si="19"/>
        <v>1149.95</v>
      </c>
      <c r="O39" s="18">
        <f t="shared" si="15"/>
        <v>4200.05</v>
      </c>
      <c r="P39" s="10">
        <v>510.86</v>
      </c>
      <c r="Q39" s="10">
        <v>882.75</v>
      </c>
      <c r="R39" s="35">
        <f t="shared" si="16"/>
        <v>1393.6100000000001</v>
      </c>
    </row>
    <row r="40" spans="1:18" x14ac:dyDescent="0.25">
      <c r="B40" t="s">
        <v>130</v>
      </c>
      <c r="C40" t="s">
        <v>102</v>
      </c>
      <c r="D40" t="s">
        <v>82</v>
      </c>
      <c r="E40" s="15">
        <v>5350</v>
      </c>
      <c r="F40" s="15">
        <v>0</v>
      </c>
      <c r="G40" s="15">
        <f t="shared" si="17"/>
        <v>5350</v>
      </c>
      <c r="H40" s="15">
        <v>0</v>
      </c>
      <c r="I40" s="15">
        <v>588.20000000000005</v>
      </c>
      <c r="J40" s="15">
        <f t="shared" si="18"/>
        <v>588.20000000000005</v>
      </c>
      <c r="K40" s="15">
        <v>0</v>
      </c>
      <c r="L40" s="15">
        <v>0</v>
      </c>
      <c r="M40" s="15">
        <f t="shared" si="14"/>
        <v>561.75</v>
      </c>
      <c r="N40" s="15">
        <f t="shared" si="19"/>
        <v>1149.95</v>
      </c>
      <c r="O40" s="18">
        <f t="shared" si="15"/>
        <v>4200.05</v>
      </c>
      <c r="P40" s="10">
        <v>510.86</v>
      </c>
      <c r="Q40" s="10">
        <v>882.75</v>
      </c>
      <c r="R40" s="35">
        <f t="shared" si="16"/>
        <v>1393.6100000000001</v>
      </c>
    </row>
    <row r="41" spans="1:18" x14ac:dyDescent="0.25">
      <c r="B41" t="s">
        <v>131</v>
      </c>
      <c r="C41" t="s">
        <v>85</v>
      </c>
      <c r="D41" t="s">
        <v>83</v>
      </c>
      <c r="E41" s="15">
        <v>5350</v>
      </c>
      <c r="F41" s="15">
        <v>0</v>
      </c>
      <c r="G41" s="15">
        <f t="shared" si="17"/>
        <v>5350</v>
      </c>
      <c r="H41" s="15">
        <v>0</v>
      </c>
      <c r="I41" s="15">
        <v>588.20000000000005</v>
      </c>
      <c r="J41" s="15">
        <f t="shared" si="18"/>
        <v>588.20000000000005</v>
      </c>
      <c r="K41" s="15">
        <v>0</v>
      </c>
      <c r="L41" s="15">
        <v>0</v>
      </c>
      <c r="M41" s="15">
        <f t="shared" si="14"/>
        <v>561.75</v>
      </c>
      <c r="N41" s="15">
        <f t="shared" si="19"/>
        <v>1149.95</v>
      </c>
      <c r="O41" s="18">
        <f t="shared" si="15"/>
        <v>4200.05</v>
      </c>
      <c r="P41" s="10">
        <v>510.86</v>
      </c>
      <c r="Q41" s="10">
        <v>882.75</v>
      </c>
      <c r="R41" s="35">
        <f t="shared" si="16"/>
        <v>1393.6100000000001</v>
      </c>
    </row>
    <row r="42" spans="1:18" x14ac:dyDescent="0.25">
      <c r="B42" t="s">
        <v>132</v>
      </c>
      <c r="C42" t="s">
        <v>103</v>
      </c>
      <c r="D42" t="s">
        <v>83</v>
      </c>
      <c r="E42" s="15">
        <v>5350</v>
      </c>
      <c r="F42" s="15">
        <v>0</v>
      </c>
      <c r="G42" s="15">
        <f t="shared" si="17"/>
        <v>5350</v>
      </c>
      <c r="H42" s="15">
        <v>0</v>
      </c>
      <c r="I42" s="15">
        <v>588.20000000000005</v>
      </c>
      <c r="J42" s="15">
        <f t="shared" si="18"/>
        <v>588.20000000000005</v>
      </c>
      <c r="K42" s="15">
        <v>0</v>
      </c>
      <c r="L42" s="15">
        <v>0</v>
      </c>
      <c r="M42" s="15">
        <f t="shared" si="14"/>
        <v>561.75</v>
      </c>
      <c r="N42" s="15">
        <f t="shared" si="19"/>
        <v>1149.95</v>
      </c>
      <c r="O42" s="18">
        <f t="shared" si="15"/>
        <v>4200.05</v>
      </c>
      <c r="P42" s="10">
        <v>510.86</v>
      </c>
      <c r="Q42" s="10">
        <v>882.75</v>
      </c>
      <c r="R42" s="35">
        <f t="shared" si="16"/>
        <v>1393.6100000000001</v>
      </c>
    </row>
    <row r="43" spans="1:18" x14ac:dyDescent="0.25">
      <c r="A43" t="s">
        <v>138</v>
      </c>
      <c r="B43" s="2" t="s">
        <v>26</v>
      </c>
      <c r="E43" s="34">
        <f>SUM(E32:E42)</f>
        <v>58850</v>
      </c>
      <c r="F43" s="34">
        <f>SUM(F32:F42)</f>
        <v>0</v>
      </c>
      <c r="G43" s="34">
        <f>SUM(G32:G42)</f>
        <v>58850</v>
      </c>
      <c r="H43" s="34">
        <f t="shared" ref="H43:R43" si="20">SUM(H32:H42)</f>
        <v>0</v>
      </c>
      <c r="I43" s="34">
        <f t="shared" si="20"/>
        <v>6470.1999999999989</v>
      </c>
      <c r="J43" s="34">
        <f t="shared" si="20"/>
        <v>6470.1999999999989</v>
      </c>
      <c r="K43" s="34">
        <f t="shared" si="20"/>
        <v>0</v>
      </c>
      <c r="L43" s="34">
        <f t="shared" si="20"/>
        <v>0</v>
      </c>
      <c r="M43" s="34">
        <f t="shared" si="20"/>
        <v>6179.25</v>
      </c>
      <c r="N43" s="34">
        <f t="shared" si="20"/>
        <v>12649.450000000003</v>
      </c>
      <c r="O43" s="34">
        <f t="shared" si="20"/>
        <v>46200.55000000001</v>
      </c>
      <c r="P43" s="34">
        <f t="shared" si="20"/>
        <v>5619.46</v>
      </c>
      <c r="Q43" s="34">
        <f t="shared" si="20"/>
        <v>9710.25</v>
      </c>
      <c r="R43" s="34">
        <f t="shared" si="20"/>
        <v>15329.710000000005</v>
      </c>
    </row>
    <row r="44" spans="1:18" x14ac:dyDescent="0.25"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8" x14ac:dyDescent="0.25">
      <c r="B45" s="2" t="s">
        <v>140</v>
      </c>
      <c r="C45" s="2" t="s">
        <v>64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8" x14ac:dyDescent="0.25">
      <c r="B46" t="s">
        <v>133</v>
      </c>
      <c r="C46" t="s">
        <v>99</v>
      </c>
      <c r="D46" t="s">
        <v>80</v>
      </c>
      <c r="E46" s="15">
        <v>5350</v>
      </c>
      <c r="F46" s="15">
        <v>0</v>
      </c>
      <c r="G46" s="15">
        <f>E46+F46</f>
        <v>5350</v>
      </c>
      <c r="H46" s="15">
        <v>0</v>
      </c>
      <c r="I46" s="15">
        <v>588.20000000000005</v>
      </c>
      <c r="J46" s="15">
        <f>I46-H46</f>
        <v>588.20000000000005</v>
      </c>
      <c r="K46" s="15">
        <v>0</v>
      </c>
      <c r="L46" s="15">
        <v>0</v>
      </c>
      <c r="M46" s="15">
        <f>E46*0.105</f>
        <v>561.75</v>
      </c>
      <c r="N46" s="15">
        <f>SUM(J46:M46)</f>
        <v>1149.95</v>
      </c>
      <c r="O46" s="18">
        <f>G46-N46</f>
        <v>4200.05</v>
      </c>
      <c r="P46" s="10">
        <v>510.86</v>
      </c>
      <c r="Q46" s="10">
        <v>882.75</v>
      </c>
      <c r="R46" s="35">
        <f t="shared" ref="R46" si="21">P46+Q46</f>
        <v>1393.6100000000001</v>
      </c>
    </row>
    <row r="47" spans="1:18" x14ac:dyDescent="0.25">
      <c r="A47" t="s">
        <v>139</v>
      </c>
      <c r="B47" s="2" t="s">
        <v>26</v>
      </c>
      <c r="E47" s="34">
        <f>E46</f>
        <v>5350</v>
      </c>
      <c r="F47" s="34">
        <f>F46</f>
        <v>0</v>
      </c>
      <c r="G47" s="34">
        <f>G46</f>
        <v>5350</v>
      </c>
      <c r="H47" s="34">
        <f t="shared" ref="H47:R47" si="22">H46</f>
        <v>0</v>
      </c>
      <c r="I47" s="34">
        <f t="shared" si="22"/>
        <v>588.20000000000005</v>
      </c>
      <c r="J47" s="34">
        <f t="shared" si="22"/>
        <v>588.20000000000005</v>
      </c>
      <c r="K47" s="34">
        <f t="shared" si="22"/>
        <v>0</v>
      </c>
      <c r="L47" s="34">
        <f t="shared" si="22"/>
        <v>0</v>
      </c>
      <c r="M47" s="34">
        <f t="shared" si="22"/>
        <v>561.75</v>
      </c>
      <c r="N47" s="34">
        <f t="shared" si="22"/>
        <v>1149.95</v>
      </c>
      <c r="O47" s="34">
        <f t="shared" si="22"/>
        <v>4200.05</v>
      </c>
      <c r="P47" s="34">
        <f t="shared" si="22"/>
        <v>510.86</v>
      </c>
      <c r="Q47" s="34">
        <f t="shared" si="22"/>
        <v>882.75</v>
      </c>
      <c r="R47" s="34">
        <f t="shared" si="22"/>
        <v>1393.6100000000001</v>
      </c>
    </row>
    <row r="48" spans="1:18" x14ac:dyDescent="0.25">
      <c r="B48" s="2"/>
      <c r="E48" s="15"/>
      <c r="F48" s="15"/>
      <c r="G48" s="16"/>
      <c r="H48" s="16"/>
      <c r="I48" s="16"/>
      <c r="J48" s="16"/>
      <c r="K48" s="16"/>
      <c r="L48" s="16"/>
      <c r="M48" s="16"/>
      <c r="N48" s="16"/>
      <c r="O48" s="16"/>
      <c r="P48" s="8"/>
      <c r="Q48" s="8"/>
      <c r="R48" s="8"/>
    </row>
    <row r="49" spans="4:18" x14ac:dyDescent="0.25"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4:18" ht="18.75" x14ac:dyDescent="0.3">
      <c r="D50" s="4" t="s">
        <v>105</v>
      </c>
      <c r="E50" s="17">
        <f>E8+E19+E24+E29+E43+E47+E48</f>
        <v>153604.95000000001</v>
      </c>
      <c r="F50" s="17">
        <f t="shared" ref="F50:R50" si="23">F8+F19+F24+F29+F43+F47+F48</f>
        <v>0</v>
      </c>
      <c r="G50" s="17">
        <f t="shared" si="23"/>
        <v>153604.95000000001</v>
      </c>
      <c r="H50" s="17">
        <f t="shared" si="23"/>
        <v>274.08999999999997</v>
      </c>
      <c r="I50" s="17">
        <f t="shared" si="23"/>
        <v>18911.5</v>
      </c>
      <c r="J50" s="17">
        <f t="shared" si="23"/>
        <v>18637.41</v>
      </c>
      <c r="K50" s="17">
        <f t="shared" si="23"/>
        <v>0</v>
      </c>
      <c r="L50" s="17">
        <f t="shared" si="23"/>
        <v>0</v>
      </c>
      <c r="M50" s="17">
        <f t="shared" si="23"/>
        <v>16128.519749999999</v>
      </c>
      <c r="N50" s="17">
        <f t="shared" si="23"/>
        <v>34765.929750000003</v>
      </c>
      <c r="O50" s="17">
        <f t="shared" si="23"/>
        <v>118839.02025000002</v>
      </c>
      <c r="P50" s="17">
        <f t="shared" si="23"/>
        <v>14204.14</v>
      </c>
      <c r="Q50" s="17">
        <f t="shared" si="23"/>
        <v>25427.309999999998</v>
      </c>
      <c r="R50" s="17">
        <f t="shared" si="23"/>
        <v>39631.450000000004</v>
      </c>
    </row>
    <row r="53" spans="4:18" ht="15.75" thickBot="1" x14ac:dyDescent="0.3">
      <c r="E53" s="375"/>
      <c r="F53" s="375"/>
      <c r="I53" s="375"/>
      <c r="J53" s="375"/>
      <c r="K53" s="375"/>
    </row>
    <row r="54" spans="4:18" x14ac:dyDescent="0.25">
      <c r="E54" s="377" t="s">
        <v>146</v>
      </c>
      <c r="F54" s="377"/>
      <c r="I54" s="378" t="s">
        <v>145</v>
      </c>
      <c r="J54" s="378"/>
      <c r="K54" s="378"/>
    </row>
    <row r="55" spans="4:18" ht="15.75" x14ac:dyDescent="0.3">
      <c r="E55" s="379" t="s">
        <v>144</v>
      </c>
      <c r="F55" s="377"/>
      <c r="I55" s="379" t="s">
        <v>145</v>
      </c>
      <c r="J55" s="379"/>
      <c r="K55" s="379"/>
    </row>
  </sheetData>
  <mergeCells count="8">
    <mergeCell ref="E54:F54"/>
    <mergeCell ref="I54:K54"/>
    <mergeCell ref="E55:F55"/>
    <mergeCell ref="I55:K55"/>
    <mergeCell ref="C1:D1"/>
    <mergeCell ref="E2:R2"/>
    <mergeCell ref="E53:F53"/>
    <mergeCell ref="I53:K5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0" orientation="landscape" verticalDpi="0" r:id="rId1"/>
  <ignoredErrors>
    <ignoredError sqref="F2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workbookViewId="0">
      <pane xSplit="4" ySplit="3" topLeftCell="K34" activePane="bottomRight" state="frozen"/>
      <selection pane="topRight" activeCell="E1" sqref="E1"/>
      <selection pane="bottomLeft" activeCell="A4" sqref="A4"/>
      <selection pane="bottomRight" activeCell="P34" sqref="P34"/>
    </sheetView>
  </sheetViews>
  <sheetFormatPr baseColWidth="10" defaultRowHeight="15" x14ac:dyDescent="0.25"/>
  <cols>
    <col min="3" max="3" width="33.42578125" customWidth="1"/>
    <col min="4" max="4" width="27" customWidth="1"/>
    <col min="5" max="6" width="17" customWidth="1"/>
    <col min="8" max="8" width="15.5703125" customWidth="1"/>
    <col min="10" max="10" width="17.28515625" customWidth="1"/>
    <col min="11" max="11" width="17.42578125" customWidth="1"/>
    <col min="14" max="14" width="15" customWidth="1"/>
    <col min="15" max="15" width="14.5703125" customWidth="1"/>
    <col min="16" max="16" width="16" customWidth="1"/>
    <col min="17" max="17" width="15.28515625" customWidth="1"/>
    <col min="18" max="18" width="17.28515625" customWidth="1"/>
    <col min="19" max="19" width="16.7109375" customWidth="1"/>
  </cols>
  <sheetData>
    <row r="1" spans="1:19" ht="18.75" x14ac:dyDescent="0.25">
      <c r="C1" s="372" t="s">
        <v>149</v>
      </c>
      <c r="D1" s="372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9" ht="15.75" thickBot="1" x14ac:dyDescent="0.3">
      <c r="E2" s="367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9"/>
    </row>
    <row r="3" spans="1:19" ht="35.25" thickTop="1" thickBot="1" x14ac:dyDescent="0.3">
      <c r="B3" s="47" t="s">
        <v>9</v>
      </c>
      <c r="C3" s="48" t="s">
        <v>10</v>
      </c>
      <c r="D3" s="48" t="s">
        <v>0</v>
      </c>
      <c r="E3" s="49" t="s">
        <v>11</v>
      </c>
      <c r="F3" s="49" t="s">
        <v>150</v>
      </c>
      <c r="G3" s="50" t="s">
        <v>113</v>
      </c>
      <c r="H3" s="49" t="s">
        <v>12</v>
      </c>
      <c r="I3" s="49" t="s">
        <v>107</v>
      </c>
      <c r="J3" s="49" t="s">
        <v>143</v>
      </c>
      <c r="K3" s="49" t="s">
        <v>13</v>
      </c>
      <c r="L3" s="49" t="s">
        <v>15</v>
      </c>
      <c r="M3" s="49" t="s">
        <v>106</v>
      </c>
      <c r="N3" s="49" t="s">
        <v>16</v>
      </c>
      <c r="O3" s="49" t="s">
        <v>17</v>
      </c>
      <c r="P3" s="49" t="s">
        <v>72</v>
      </c>
      <c r="Q3" s="48" t="s">
        <v>8</v>
      </c>
      <c r="R3" s="48" t="s">
        <v>18</v>
      </c>
      <c r="S3" s="51" t="s">
        <v>73</v>
      </c>
    </row>
    <row r="4" spans="1:19" ht="15.75" thickTop="1" x14ac:dyDescent="0.25">
      <c r="B4" s="2" t="s">
        <v>19</v>
      </c>
      <c r="C4" s="2" t="s">
        <v>20</v>
      </c>
      <c r="D4" s="2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9" x14ac:dyDescent="0.25">
      <c r="B5" t="s">
        <v>21</v>
      </c>
      <c r="C5" s="11" t="s">
        <v>22</v>
      </c>
      <c r="D5" t="s">
        <v>25</v>
      </c>
      <c r="E5" s="15">
        <v>16954.95</v>
      </c>
      <c r="F5" s="28">
        <v>15</v>
      </c>
      <c r="G5" s="15">
        <v>0</v>
      </c>
      <c r="H5" s="15">
        <f>E5+G5</f>
        <v>16954.95</v>
      </c>
      <c r="I5" s="15">
        <v>0</v>
      </c>
      <c r="J5" s="15">
        <v>3246.93</v>
      </c>
      <c r="K5" s="15">
        <f>J5-I5</f>
        <v>3246.93</v>
      </c>
      <c r="L5" s="15">
        <v>0</v>
      </c>
      <c r="M5" s="15">
        <v>0</v>
      </c>
      <c r="N5" s="15">
        <f>E5*0.105</f>
        <v>1780.2697499999999</v>
      </c>
      <c r="O5" s="15">
        <f>SUM(K5:N5)</f>
        <v>5027.1997499999998</v>
      </c>
      <c r="P5" s="18">
        <f>H5-O5</f>
        <v>11927.750250000001</v>
      </c>
      <c r="Q5" s="10">
        <v>1223.77</v>
      </c>
      <c r="R5" s="10">
        <v>2797.56</v>
      </c>
      <c r="S5" s="35">
        <f>SUM(Q5:R5)</f>
        <v>4021.33</v>
      </c>
    </row>
    <row r="6" spans="1:19" x14ac:dyDescent="0.25">
      <c r="B6" t="s">
        <v>23</v>
      </c>
      <c r="C6" s="11" t="s">
        <v>24</v>
      </c>
      <c r="D6" t="s">
        <v>3</v>
      </c>
      <c r="E6" s="15">
        <v>4850</v>
      </c>
      <c r="F6" s="28">
        <v>15</v>
      </c>
      <c r="G6" s="15">
        <v>0</v>
      </c>
      <c r="H6" s="15">
        <f t="shared" ref="H6:H7" si="0">E6+G6</f>
        <v>4850</v>
      </c>
      <c r="I6" s="15">
        <v>0</v>
      </c>
      <c r="J6" s="15">
        <v>491.69</v>
      </c>
      <c r="K6" s="15">
        <f t="shared" ref="K6:K7" si="1">J6-I6</f>
        <v>491.69</v>
      </c>
      <c r="L6" s="15">
        <v>0</v>
      </c>
      <c r="M6" s="15">
        <v>0</v>
      </c>
      <c r="N6" s="15">
        <f>E6*0.105</f>
        <v>509.25</v>
      </c>
      <c r="O6" s="15">
        <f t="shared" ref="O6:O7" si="2">SUM(K6:N6)</f>
        <v>1000.94</v>
      </c>
      <c r="P6" s="18">
        <f>H6-O6</f>
        <v>3849.06</v>
      </c>
      <c r="Q6" s="10">
        <v>480.14</v>
      </c>
      <c r="R6" s="10">
        <v>800.25</v>
      </c>
      <c r="S6" s="35">
        <f t="shared" ref="S6:S7" si="3">SUM(Q6:R6)</f>
        <v>1280.3899999999999</v>
      </c>
    </row>
    <row r="7" spans="1:19" x14ac:dyDescent="0.25">
      <c r="B7" t="s">
        <v>41</v>
      </c>
      <c r="C7" s="11" t="s">
        <v>42</v>
      </c>
      <c r="D7" t="s">
        <v>2</v>
      </c>
      <c r="E7" s="15">
        <v>10000</v>
      </c>
      <c r="F7" s="28">
        <v>15</v>
      </c>
      <c r="G7" s="15">
        <v>0</v>
      </c>
      <c r="H7" s="15">
        <f t="shared" si="0"/>
        <v>10000</v>
      </c>
      <c r="I7" s="15">
        <v>0</v>
      </c>
      <c r="J7" s="15">
        <v>1581.44</v>
      </c>
      <c r="K7" s="15">
        <f t="shared" si="1"/>
        <v>1581.44</v>
      </c>
      <c r="L7" s="15">
        <v>0</v>
      </c>
      <c r="M7" s="15">
        <v>0</v>
      </c>
      <c r="N7" s="15">
        <f>E7*0.105</f>
        <v>1050</v>
      </c>
      <c r="O7" s="15">
        <f t="shared" si="2"/>
        <v>2631.44</v>
      </c>
      <c r="P7" s="18">
        <f>H7-O7</f>
        <v>7368.5599999999995</v>
      </c>
      <c r="Q7" s="10">
        <v>796.52</v>
      </c>
      <c r="R7" s="10">
        <v>1650</v>
      </c>
      <c r="S7" s="35">
        <f t="shared" si="3"/>
        <v>2446.52</v>
      </c>
    </row>
    <row r="8" spans="1:19" x14ac:dyDescent="0.25">
      <c r="A8" t="s">
        <v>135</v>
      </c>
      <c r="B8" s="7" t="s">
        <v>26</v>
      </c>
      <c r="E8" s="34">
        <f>SUM(E5:E7)</f>
        <v>31804.95</v>
      </c>
      <c r="F8" s="34"/>
      <c r="G8" s="34">
        <f>SUM(G5:G7)</f>
        <v>0</v>
      </c>
      <c r="H8" s="34">
        <f>SUM(H5:H7)</f>
        <v>31804.95</v>
      </c>
      <c r="I8" s="34">
        <f t="shared" ref="I8:S8" si="4">SUM(I5:I7)</f>
        <v>0</v>
      </c>
      <c r="J8" s="34">
        <f t="shared" si="4"/>
        <v>5320.0599999999995</v>
      </c>
      <c r="K8" s="34">
        <f t="shared" si="4"/>
        <v>5320.0599999999995</v>
      </c>
      <c r="L8" s="34">
        <f t="shared" si="4"/>
        <v>0</v>
      </c>
      <c r="M8" s="34">
        <f t="shared" si="4"/>
        <v>0</v>
      </c>
      <c r="N8" s="34">
        <f t="shared" si="4"/>
        <v>3339.5197499999999</v>
      </c>
      <c r="O8" s="34">
        <f t="shared" si="4"/>
        <v>8659.5797500000008</v>
      </c>
      <c r="P8" s="34">
        <f t="shared" si="4"/>
        <v>23145.37025</v>
      </c>
      <c r="Q8" s="34">
        <f t="shared" si="4"/>
        <v>2500.4299999999998</v>
      </c>
      <c r="R8" s="34">
        <f t="shared" si="4"/>
        <v>5247.8099999999995</v>
      </c>
      <c r="S8" s="34">
        <f t="shared" si="4"/>
        <v>7748.24</v>
      </c>
    </row>
    <row r="9" spans="1:19" x14ac:dyDescent="0.25"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9" x14ac:dyDescent="0.25">
      <c r="B10" s="2" t="s">
        <v>27</v>
      </c>
      <c r="C10" s="2" t="s">
        <v>28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9" x14ac:dyDescent="0.25">
      <c r="B11" t="s">
        <v>32</v>
      </c>
      <c r="C11" s="11" t="s">
        <v>37</v>
      </c>
      <c r="D11" t="s">
        <v>1</v>
      </c>
      <c r="E11" s="15">
        <v>10000</v>
      </c>
      <c r="F11" s="28">
        <v>15</v>
      </c>
      <c r="G11" s="15">
        <v>0</v>
      </c>
      <c r="H11" s="15">
        <f>E11+G11</f>
        <v>10000</v>
      </c>
      <c r="I11" s="15">
        <v>0</v>
      </c>
      <c r="J11" s="15">
        <v>1581.44</v>
      </c>
      <c r="K11" s="15">
        <f>J11-I11</f>
        <v>1581.44</v>
      </c>
      <c r="L11" s="15">
        <v>0</v>
      </c>
      <c r="M11" s="15">
        <v>0</v>
      </c>
      <c r="N11" s="15">
        <f>E11*0.105</f>
        <v>1050</v>
      </c>
      <c r="O11" s="15">
        <f>SUM(K11:N11)</f>
        <v>2631.44</v>
      </c>
      <c r="P11" s="18">
        <f t="shared" ref="P11:P18" si="5">H11-O11</f>
        <v>7368.5599999999995</v>
      </c>
      <c r="Q11" s="10">
        <v>796.52</v>
      </c>
      <c r="R11" s="10">
        <v>1650</v>
      </c>
      <c r="S11" s="35">
        <f>Q11+R11</f>
        <v>2446.52</v>
      </c>
    </row>
    <row r="12" spans="1:19" x14ac:dyDescent="0.25">
      <c r="B12" t="s">
        <v>33</v>
      </c>
      <c r="C12" s="11" t="s">
        <v>38</v>
      </c>
      <c r="D12" t="s">
        <v>74</v>
      </c>
      <c r="E12" s="15">
        <v>5350</v>
      </c>
      <c r="F12" s="28">
        <v>15</v>
      </c>
      <c r="G12" s="19">
        <v>0</v>
      </c>
      <c r="H12" s="15">
        <f t="shared" ref="H12:H18" si="6">E12+G12</f>
        <v>5350</v>
      </c>
      <c r="I12" s="15">
        <v>0</v>
      </c>
      <c r="J12" s="15">
        <v>588.20000000000005</v>
      </c>
      <c r="K12" s="15">
        <f t="shared" ref="K12:K16" si="7">J12-I12</f>
        <v>588.20000000000005</v>
      </c>
      <c r="L12" s="15">
        <v>0</v>
      </c>
      <c r="M12" s="15">
        <v>0</v>
      </c>
      <c r="N12" s="15">
        <f>E12*0.105</f>
        <v>561.75</v>
      </c>
      <c r="O12" s="15">
        <f>SUM(K12:N12)</f>
        <v>1149.95</v>
      </c>
      <c r="P12" s="18">
        <f t="shared" si="5"/>
        <v>4200.05</v>
      </c>
      <c r="Q12" s="10">
        <v>510.86</v>
      </c>
      <c r="R12" s="10">
        <v>882.75</v>
      </c>
      <c r="S12" s="35">
        <f>Q12+R12</f>
        <v>1393.6100000000001</v>
      </c>
    </row>
    <row r="13" spans="1:19" x14ac:dyDescent="0.25">
      <c r="B13" t="s">
        <v>34</v>
      </c>
      <c r="C13" t="s">
        <v>141</v>
      </c>
      <c r="D13" t="s">
        <v>75</v>
      </c>
      <c r="E13" s="21">
        <v>4993.33</v>
      </c>
      <c r="F13" s="28">
        <v>14</v>
      </c>
      <c r="G13" s="3">
        <v>0</v>
      </c>
      <c r="H13" s="15">
        <f t="shared" si="6"/>
        <v>4993.33</v>
      </c>
      <c r="I13" s="3">
        <v>0</v>
      </c>
      <c r="J13" s="3">
        <v>517.38</v>
      </c>
      <c r="K13" s="15">
        <f t="shared" si="7"/>
        <v>517.38</v>
      </c>
      <c r="L13" s="3">
        <v>0</v>
      </c>
      <c r="M13" s="3">
        <v>0</v>
      </c>
      <c r="N13" s="15">
        <f>E13*0.105</f>
        <v>524.29964999999993</v>
      </c>
      <c r="O13" s="15">
        <f>SUM(K13:N13)</f>
        <v>1041.67965</v>
      </c>
      <c r="P13" s="18">
        <f t="shared" si="5"/>
        <v>3951.6503499999999</v>
      </c>
      <c r="Q13" s="27">
        <v>510.86</v>
      </c>
      <c r="R13" s="27">
        <v>882.75</v>
      </c>
      <c r="S13" s="35">
        <f>Q13+R13</f>
        <v>1393.6100000000001</v>
      </c>
    </row>
    <row r="14" spans="1:19" x14ac:dyDescent="0.25">
      <c r="B14" t="s">
        <v>35</v>
      </c>
      <c r="C14" t="s">
        <v>111</v>
      </c>
      <c r="D14" t="s">
        <v>77</v>
      </c>
      <c r="E14" s="15">
        <v>6000</v>
      </c>
      <c r="F14" s="28">
        <v>15</v>
      </c>
      <c r="G14" s="15">
        <v>0</v>
      </c>
      <c r="H14" s="15">
        <f t="shared" si="6"/>
        <v>6000</v>
      </c>
      <c r="I14" s="15">
        <v>0</v>
      </c>
      <c r="J14" s="15">
        <v>727.04</v>
      </c>
      <c r="K14" s="15">
        <f t="shared" si="7"/>
        <v>727.04</v>
      </c>
      <c r="L14" s="15">
        <v>0</v>
      </c>
      <c r="M14" s="15">
        <v>0</v>
      </c>
      <c r="N14" s="15">
        <f t="shared" ref="N14:N18" si="8">E14*0.105</f>
        <v>630</v>
      </c>
      <c r="O14" s="15">
        <f>SUM(K14:N14)</f>
        <v>1357.04</v>
      </c>
      <c r="P14" s="18">
        <f t="shared" si="5"/>
        <v>4642.96</v>
      </c>
      <c r="Q14" s="10">
        <v>550.79</v>
      </c>
      <c r="R14" s="10">
        <v>990</v>
      </c>
      <c r="S14" s="35">
        <f>Q14+R14</f>
        <v>1540.79</v>
      </c>
    </row>
    <row r="15" spans="1:19" x14ac:dyDescent="0.25">
      <c r="B15" t="s">
        <v>36</v>
      </c>
      <c r="C15" t="s">
        <v>86</v>
      </c>
      <c r="D15" t="s">
        <v>39</v>
      </c>
      <c r="E15" s="15">
        <v>4500</v>
      </c>
      <c r="F15" s="28">
        <v>15</v>
      </c>
      <c r="G15" s="15">
        <v>0</v>
      </c>
      <c r="H15" s="15">
        <f t="shared" si="6"/>
        <v>4500</v>
      </c>
      <c r="I15" s="15">
        <v>0</v>
      </c>
      <c r="J15" s="15">
        <v>428.97</v>
      </c>
      <c r="K15" s="15">
        <f t="shared" si="7"/>
        <v>428.97</v>
      </c>
      <c r="L15" s="15">
        <v>0</v>
      </c>
      <c r="M15" s="15">
        <v>0</v>
      </c>
      <c r="N15" s="15">
        <f t="shared" si="8"/>
        <v>472.5</v>
      </c>
      <c r="O15" s="15">
        <f t="shared" ref="O15:O16" si="9">SUM(K15:N15)</f>
        <v>901.47</v>
      </c>
      <c r="P15" s="18">
        <f t="shared" si="5"/>
        <v>3598.5299999999997</v>
      </c>
      <c r="Q15" s="10">
        <v>489.36</v>
      </c>
      <c r="R15" s="10">
        <v>825</v>
      </c>
      <c r="S15" s="35">
        <f>Q15+R15</f>
        <v>1314.3600000000001</v>
      </c>
    </row>
    <row r="16" spans="1:19" x14ac:dyDescent="0.25">
      <c r="B16" t="s">
        <v>115</v>
      </c>
      <c r="C16" t="s">
        <v>87</v>
      </c>
      <c r="D16" t="s">
        <v>39</v>
      </c>
      <c r="E16" s="15">
        <v>4500</v>
      </c>
      <c r="F16" s="28">
        <v>15</v>
      </c>
      <c r="G16" s="15">
        <v>0</v>
      </c>
      <c r="H16" s="15">
        <f t="shared" si="6"/>
        <v>4500</v>
      </c>
      <c r="I16" s="15">
        <v>0</v>
      </c>
      <c r="J16" s="15">
        <v>428.97</v>
      </c>
      <c r="K16" s="15">
        <f t="shared" si="7"/>
        <v>428.97</v>
      </c>
      <c r="L16" s="15">
        <v>0</v>
      </c>
      <c r="M16" s="15">
        <v>0</v>
      </c>
      <c r="N16" s="15">
        <f>E16*0.105</f>
        <v>472.5</v>
      </c>
      <c r="O16" s="15">
        <f t="shared" si="9"/>
        <v>901.47</v>
      </c>
      <c r="P16" s="18">
        <f t="shared" si="5"/>
        <v>3598.5299999999997</v>
      </c>
      <c r="Q16" s="10">
        <v>458.64</v>
      </c>
      <c r="R16" s="10">
        <v>742.5</v>
      </c>
      <c r="S16" s="35">
        <f t="shared" ref="S16:S18" si="10">Q16+R16</f>
        <v>1201.1399999999999</v>
      </c>
    </row>
    <row r="17" spans="1:19" x14ac:dyDescent="0.25">
      <c r="B17" t="s">
        <v>116</v>
      </c>
      <c r="C17" t="s">
        <v>89</v>
      </c>
      <c r="D17" t="s">
        <v>4</v>
      </c>
      <c r="E17" s="15">
        <v>2700</v>
      </c>
      <c r="F17" s="28">
        <v>15</v>
      </c>
      <c r="G17" s="15">
        <v>0</v>
      </c>
      <c r="H17" s="15">
        <f t="shared" si="6"/>
        <v>2700</v>
      </c>
      <c r="I17" s="15">
        <v>147.32</v>
      </c>
      <c r="J17" s="15">
        <v>188.33</v>
      </c>
      <c r="K17" s="15">
        <f>J17-I17</f>
        <v>41.010000000000019</v>
      </c>
      <c r="L17" s="15">
        <v>0</v>
      </c>
      <c r="M17" s="15">
        <v>0</v>
      </c>
      <c r="N17" s="15">
        <f t="shared" si="8"/>
        <v>283.5</v>
      </c>
      <c r="O17" s="15">
        <f>SUM(K17:N17)</f>
        <v>324.51</v>
      </c>
      <c r="P17" s="18">
        <f t="shared" si="5"/>
        <v>2375.4899999999998</v>
      </c>
      <c r="Q17" s="10">
        <v>348.07</v>
      </c>
      <c r="R17" s="10">
        <v>445.5</v>
      </c>
      <c r="S17" s="35">
        <f t="shared" si="10"/>
        <v>793.56999999999994</v>
      </c>
    </row>
    <row r="18" spans="1:19" x14ac:dyDescent="0.25">
      <c r="B18" t="s">
        <v>117</v>
      </c>
      <c r="C18" t="s">
        <v>88</v>
      </c>
      <c r="D18" t="s">
        <v>40</v>
      </c>
      <c r="E18" s="15">
        <v>3150</v>
      </c>
      <c r="F18" s="28">
        <v>15</v>
      </c>
      <c r="G18" s="15">
        <v>0</v>
      </c>
      <c r="H18" s="15">
        <f t="shared" si="6"/>
        <v>3150</v>
      </c>
      <c r="I18" s="15">
        <v>126.77</v>
      </c>
      <c r="J18" s="15">
        <v>237.29</v>
      </c>
      <c r="K18" s="15">
        <f>J18-I18</f>
        <v>110.52</v>
      </c>
      <c r="L18" s="15">
        <v>0</v>
      </c>
      <c r="M18" s="15">
        <v>0</v>
      </c>
      <c r="N18" s="15">
        <f t="shared" si="8"/>
        <v>330.75</v>
      </c>
      <c r="O18" s="15">
        <f>SUM(K18:N18)</f>
        <v>441.27</v>
      </c>
      <c r="P18" s="18">
        <f t="shared" si="5"/>
        <v>2708.73</v>
      </c>
      <c r="Q18" s="10">
        <v>375.71</v>
      </c>
      <c r="R18" s="10">
        <v>519.75</v>
      </c>
      <c r="S18" s="35">
        <f t="shared" si="10"/>
        <v>895.46</v>
      </c>
    </row>
    <row r="19" spans="1:19" x14ac:dyDescent="0.25">
      <c r="A19" t="s">
        <v>136</v>
      </c>
      <c r="B19" s="2" t="s">
        <v>26</v>
      </c>
      <c r="E19" s="34">
        <f t="shared" ref="E19:S19" si="11">SUM(E11:E18)</f>
        <v>41193.33</v>
      </c>
      <c r="F19" s="34"/>
      <c r="G19" s="34">
        <f t="shared" si="11"/>
        <v>0</v>
      </c>
      <c r="H19" s="34">
        <f t="shared" si="11"/>
        <v>41193.33</v>
      </c>
      <c r="I19" s="34">
        <f t="shared" si="11"/>
        <v>274.08999999999997</v>
      </c>
      <c r="J19" s="34">
        <f t="shared" si="11"/>
        <v>4697.6200000000008</v>
      </c>
      <c r="K19" s="34">
        <f t="shared" si="11"/>
        <v>4423.5300000000016</v>
      </c>
      <c r="L19" s="34">
        <f t="shared" si="11"/>
        <v>0</v>
      </c>
      <c r="M19" s="34">
        <f t="shared" si="11"/>
        <v>0</v>
      </c>
      <c r="N19" s="34">
        <f t="shared" si="11"/>
        <v>4325.2996499999999</v>
      </c>
      <c r="O19" s="34">
        <f t="shared" si="11"/>
        <v>8748.8296500000015</v>
      </c>
      <c r="P19" s="34">
        <f t="shared" si="11"/>
        <v>32444.500349999998</v>
      </c>
      <c r="Q19" s="34">
        <f t="shared" si="11"/>
        <v>4040.8100000000004</v>
      </c>
      <c r="R19" s="34">
        <f t="shared" si="11"/>
        <v>6938.25</v>
      </c>
      <c r="S19" s="34">
        <f t="shared" si="11"/>
        <v>10979.059999999998</v>
      </c>
    </row>
    <row r="20" spans="1:19" x14ac:dyDescent="0.25">
      <c r="B20" s="2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9" x14ac:dyDescent="0.25">
      <c r="B21" s="2" t="s">
        <v>43</v>
      </c>
      <c r="C21" s="2" t="s">
        <v>44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9" x14ac:dyDescent="0.25">
      <c r="B22" t="s">
        <v>118</v>
      </c>
      <c r="C22" t="s">
        <v>90</v>
      </c>
      <c r="D22" t="s">
        <v>6</v>
      </c>
      <c r="E22" s="15">
        <v>0</v>
      </c>
      <c r="F22" s="28"/>
      <c r="G22" s="15"/>
      <c r="H22" s="15">
        <v>0</v>
      </c>
      <c r="I22" s="15">
        <v>0</v>
      </c>
      <c r="J22" s="15">
        <v>0</v>
      </c>
      <c r="K22" s="15">
        <f>J22-I22</f>
        <v>0</v>
      </c>
      <c r="L22" s="15">
        <v>0</v>
      </c>
      <c r="M22" s="15">
        <v>0</v>
      </c>
      <c r="N22" s="15">
        <f>E22*0.105</f>
        <v>0</v>
      </c>
      <c r="O22" s="15">
        <f>SUM(K22:N22)</f>
        <v>0</v>
      </c>
      <c r="P22" s="18">
        <v>0</v>
      </c>
      <c r="Q22" s="36">
        <v>0</v>
      </c>
      <c r="R22" s="36">
        <v>0</v>
      </c>
      <c r="S22" s="35">
        <v>0</v>
      </c>
    </row>
    <row r="23" spans="1:19" x14ac:dyDescent="0.25">
      <c r="B23" t="s">
        <v>119</v>
      </c>
      <c r="C23" t="s">
        <v>91</v>
      </c>
      <c r="D23" t="s">
        <v>76</v>
      </c>
      <c r="E23" s="15">
        <v>5350</v>
      </c>
      <c r="F23" s="28">
        <v>15</v>
      </c>
      <c r="G23" s="15">
        <v>0</v>
      </c>
      <c r="H23" s="15">
        <f>E23+G23</f>
        <v>5350</v>
      </c>
      <c r="I23" s="15">
        <v>0</v>
      </c>
      <c r="J23" s="15">
        <v>588.20000000000005</v>
      </c>
      <c r="K23" s="15">
        <f>J23-I23</f>
        <v>588.20000000000005</v>
      </c>
      <c r="L23" s="15">
        <v>0</v>
      </c>
      <c r="M23" s="15">
        <v>0</v>
      </c>
      <c r="N23" s="15">
        <f>E23*0.105</f>
        <v>561.75</v>
      </c>
      <c r="O23" s="15">
        <f>SUM(K23:N23)</f>
        <v>1149.95</v>
      </c>
      <c r="P23" s="18">
        <f>H23-O23</f>
        <v>4200.05</v>
      </c>
      <c r="Q23" s="10">
        <v>510.86</v>
      </c>
      <c r="R23" s="10">
        <v>882.75</v>
      </c>
      <c r="S23" s="35">
        <f>Q23+R23</f>
        <v>1393.6100000000001</v>
      </c>
    </row>
    <row r="24" spans="1:19" x14ac:dyDescent="0.25">
      <c r="A24" t="s">
        <v>134</v>
      </c>
      <c r="B24" s="2" t="s">
        <v>26</v>
      </c>
      <c r="E24" s="34">
        <f>SUM(E22:E23)</f>
        <v>5350</v>
      </c>
      <c r="F24" s="34"/>
      <c r="G24" s="34">
        <f>G23</f>
        <v>0</v>
      </c>
      <c r="H24" s="34">
        <f>SUM(H22:H23)</f>
        <v>5350</v>
      </c>
      <c r="I24" s="34">
        <f t="shared" ref="I24:S24" si="12">SUM(I22:I23)</f>
        <v>0</v>
      </c>
      <c r="J24" s="34">
        <f t="shared" si="12"/>
        <v>588.20000000000005</v>
      </c>
      <c r="K24" s="34">
        <f t="shared" si="12"/>
        <v>588.20000000000005</v>
      </c>
      <c r="L24" s="34">
        <f t="shared" si="12"/>
        <v>0</v>
      </c>
      <c r="M24" s="34">
        <f t="shared" si="12"/>
        <v>0</v>
      </c>
      <c r="N24" s="34">
        <f t="shared" si="12"/>
        <v>561.75</v>
      </c>
      <c r="O24" s="34">
        <f t="shared" si="12"/>
        <v>1149.95</v>
      </c>
      <c r="P24" s="34">
        <f t="shared" si="12"/>
        <v>4200.05</v>
      </c>
      <c r="Q24" s="34">
        <f t="shared" si="12"/>
        <v>510.86</v>
      </c>
      <c r="R24" s="34">
        <f t="shared" si="12"/>
        <v>882.75</v>
      </c>
      <c r="S24" s="34">
        <f t="shared" si="12"/>
        <v>1393.6100000000001</v>
      </c>
    </row>
    <row r="25" spans="1:19" x14ac:dyDescent="0.25"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9" x14ac:dyDescent="0.25">
      <c r="B26" s="2" t="s">
        <v>50</v>
      </c>
      <c r="C26" s="2" t="s">
        <v>47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9" x14ac:dyDescent="0.25">
      <c r="B27" t="s">
        <v>120</v>
      </c>
      <c r="C27" t="s">
        <v>93</v>
      </c>
      <c r="D27" t="s">
        <v>78</v>
      </c>
      <c r="E27" s="15">
        <v>5350</v>
      </c>
      <c r="F27" s="28">
        <v>15</v>
      </c>
      <c r="G27" s="15">
        <v>0</v>
      </c>
      <c r="H27" s="15">
        <f>E27+G27</f>
        <v>5350</v>
      </c>
      <c r="I27" s="15">
        <v>0</v>
      </c>
      <c r="J27" s="15">
        <v>588.20000000000005</v>
      </c>
      <c r="K27" s="15">
        <f>J27-I27</f>
        <v>588.20000000000005</v>
      </c>
      <c r="L27" s="15">
        <v>0</v>
      </c>
      <c r="M27" s="15">
        <v>0</v>
      </c>
      <c r="N27" s="15">
        <f>E27*0.105</f>
        <v>561.75</v>
      </c>
      <c r="O27" s="15">
        <f>SUM(K27:N27)</f>
        <v>1149.95</v>
      </c>
      <c r="P27" s="18">
        <f>H27-O27</f>
        <v>4200.05</v>
      </c>
      <c r="Q27" s="10">
        <v>510.86</v>
      </c>
      <c r="R27" s="10">
        <v>882.75</v>
      </c>
      <c r="S27" s="35">
        <f>Q27+R27</f>
        <v>1393.6100000000001</v>
      </c>
    </row>
    <row r="28" spans="1:19" x14ac:dyDescent="0.25">
      <c r="B28" t="s">
        <v>121</v>
      </c>
      <c r="C28" t="s">
        <v>114</v>
      </c>
      <c r="D28" t="s">
        <v>79</v>
      </c>
      <c r="E28" s="15">
        <v>5350</v>
      </c>
      <c r="F28" s="28">
        <v>15</v>
      </c>
      <c r="G28" s="15">
        <v>0</v>
      </c>
      <c r="H28" s="15">
        <f>E28+G28</f>
        <v>5350</v>
      </c>
      <c r="I28" s="15">
        <v>0</v>
      </c>
      <c r="J28" s="15">
        <v>588.20000000000005</v>
      </c>
      <c r="K28" s="15">
        <f>J28-I28</f>
        <v>588.20000000000005</v>
      </c>
      <c r="L28" s="15">
        <v>0</v>
      </c>
      <c r="M28" s="15">
        <v>0</v>
      </c>
      <c r="N28" s="15">
        <f>E28*0.105</f>
        <v>561.75</v>
      </c>
      <c r="O28" s="15">
        <f>SUM(K28:N28)</f>
        <v>1149.95</v>
      </c>
      <c r="P28" s="18">
        <f>H28-O28</f>
        <v>4200.05</v>
      </c>
      <c r="Q28" s="10">
        <v>510.86</v>
      </c>
      <c r="R28" s="10">
        <v>882.75</v>
      </c>
      <c r="S28" s="35">
        <f>Q28+R28</f>
        <v>1393.6100000000001</v>
      </c>
    </row>
    <row r="29" spans="1:19" x14ac:dyDescent="0.25">
      <c r="A29" t="s">
        <v>137</v>
      </c>
      <c r="B29" s="2" t="s">
        <v>26</v>
      </c>
      <c r="E29" s="34">
        <f>SUM(E27:E28)</f>
        <v>10700</v>
      </c>
      <c r="F29" s="34"/>
      <c r="G29" s="34">
        <f>SUM(G27:G28)</f>
        <v>0</v>
      </c>
      <c r="H29" s="34">
        <f>SUM(H27:H28)</f>
        <v>10700</v>
      </c>
      <c r="I29" s="34">
        <f t="shared" ref="I29:S29" si="13">SUM(I27:I28)</f>
        <v>0</v>
      </c>
      <c r="J29" s="34">
        <f t="shared" si="13"/>
        <v>1176.4000000000001</v>
      </c>
      <c r="K29" s="34">
        <f t="shared" si="13"/>
        <v>1176.4000000000001</v>
      </c>
      <c r="L29" s="34">
        <f t="shared" si="13"/>
        <v>0</v>
      </c>
      <c r="M29" s="34">
        <f t="shared" si="13"/>
        <v>0</v>
      </c>
      <c r="N29" s="34">
        <f t="shared" si="13"/>
        <v>1123.5</v>
      </c>
      <c r="O29" s="34">
        <f t="shared" si="13"/>
        <v>2299.9</v>
      </c>
      <c r="P29" s="34">
        <f t="shared" si="13"/>
        <v>8400.1</v>
      </c>
      <c r="Q29" s="34">
        <f t="shared" si="13"/>
        <v>1021.72</v>
      </c>
      <c r="R29" s="34">
        <f t="shared" si="13"/>
        <v>1765.5</v>
      </c>
      <c r="S29" s="34">
        <f t="shared" si="13"/>
        <v>2787.2200000000003</v>
      </c>
    </row>
    <row r="30" spans="1:19" x14ac:dyDescent="0.25"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9" x14ac:dyDescent="0.25">
      <c r="B31" s="2" t="s">
        <v>63</v>
      </c>
      <c r="C31" s="2" t="s">
        <v>51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9" x14ac:dyDescent="0.25">
      <c r="B32" t="s">
        <v>122</v>
      </c>
      <c r="C32" t="s">
        <v>97</v>
      </c>
      <c r="D32" t="s">
        <v>80</v>
      </c>
      <c r="E32" s="15">
        <v>5350</v>
      </c>
      <c r="F32" s="28">
        <v>15</v>
      </c>
      <c r="G32" s="15">
        <v>0</v>
      </c>
      <c r="H32" s="15">
        <f>E32+G32</f>
        <v>5350</v>
      </c>
      <c r="I32" s="15">
        <v>0</v>
      </c>
      <c r="J32" s="15">
        <v>588.20000000000005</v>
      </c>
      <c r="K32" s="15">
        <f>J32-I32</f>
        <v>588.20000000000005</v>
      </c>
      <c r="L32" s="15">
        <v>0</v>
      </c>
      <c r="M32" s="15">
        <v>0</v>
      </c>
      <c r="N32" s="15">
        <f t="shared" ref="N32:N42" si="14">E32*0.105</f>
        <v>561.75</v>
      </c>
      <c r="O32" s="15">
        <f>SUM(K32:N32)</f>
        <v>1149.95</v>
      </c>
      <c r="P32" s="18">
        <f t="shared" ref="P32:P42" si="15">H32-O32</f>
        <v>4200.05</v>
      </c>
      <c r="Q32" s="10">
        <v>510.86</v>
      </c>
      <c r="R32" s="10">
        <v>882.75</v>
      </c>
      <c r="S32" s="35">
        <f t="shared" ref="S32:S42" si="16">Q32+R32</f>
        <v>1393.6100000000001</v>
      </c>
    </row>
    <row r="33" spans="1:19" x14ac:dyDescent="0.25">
      <c r="B33" t="s">
        <v>123</v>
      </c>
      <c r="C33" t="s">
        <v>100</v>
      </c>
      <c r="D33" t="s">
        <v>80</v>
      </c>
      <c r="E33" s="15">
        <v>5350</v>
      </c>
      <c r="F33" s="28">
        <v>15</v>
      </c>
      <c r="G33" s="15">
        <v>0</v>
      </c>
      <c r="H33" s="15">
        <f t="shared" ref="H33:H42" si="17">E33+G33</f>
        <v>5350</v>
      </c>
      <c r="I33" s="15">
        <v>0</v>
      </c>
      <c r="J33" s="15">
        <v>588.20000000000005</v>
      </c>
      <c r="K33" s="15">
        <f t="shared" ref="K33:K42" si="18">J33-I33</f>
        <v>588.20000000000005</v>
      </c>
      <c r="L33" s="15">
        <v>0</v>
      </c>
      <c r="M33" s="15">
        <v>0</v>
      </c>
      <c r="N33" s="15">
        <f t="shared" si="14"/>
        <v>561.75</v>
      </c>
      <c r="O33" s="15">
        <f t="shared" ref="O33:O42" si="19">SUM(K33:N33)</f>
        <v>1149.95</v>
      </c>
      <c r="P33" s="18">
        <f t="shared" si="15"/>
        <v>4200.05</v>
      </c>
      <c r="Q33" s="10">
        <v>510.86</v>
      </c>
      <c r="R33" s="10">
        <v>882.75</v>
      </c>
      <c r="S33" s="35">
        <f t="shared" si="16"/>
        <v>1393.6100000000001</v>
      </c>
    </row>
    <row r="34" spans="1:19" x14ac:dyDescent="0.25">
      <c r="B34" t="s">
        <v>124</v>
      </c>
      <c r="C34" t="s">
        <v>96</v>
      </c>
      <c r="D34" t="s">
        <v>78</v>
      </c>
      <c r="E34" s="15">
        <v>4993</v>
      </c>
      <c r="F34" s="28">
        <v>14</v>
      </c>
      <c r="G34" s="15">
        <v>0</v>
      </c>
      <c r="H34" s="15">
        <f t="shared" si="17"/>
        <v>4993</v>
      </c>
      <c r="I34" s="15">
        <v>0</v>
      </c>
      <c r="J34" s="15">
        <v>517.38</v>
      </c>
      <c r="K34" s="15">
        <f t="shared" si="18"/>
        <v>517.38</v>
      </c>
      <c r="L34" s="15">
        <v>0</v>
      </c>
      <c r="M34" s="15">
        <v>0</v>
      </c>
      <c r="N34" s="15">
        <f t="shared" si="14"/>
        <v>524.26499999999999</v>
      </c>
      <c r="O34" s="15">
        <f t="shared" si="19"/>
        <v>1041.645</v>
      </c>
      <c r="P34" s="18">
        <f t="shared" si="15"/>
        <v>3951.355</v>
      </c>
      <c r="Q34" s="10">
        <v>510.86</v>
      </c>
      <c r="R34" s="10">
        <v>882.75</v>
      </c>
      <c r="S34" s="35">
        <f t="shared" si="16"/>
        <v>1393.6100000000001</v>
      </c>
    </row>
    <row r="35" spans="1:19" x14ac:dyDescent="0.25">
      <c r="B35" t="s">
        <v>125</v>
      </c>
      <c r="C35" t="s">
        <v>104</v>
      </c>
      <c r="D35" t="s">
        <v>78</v>
      </c>
      <c r="E35" s="15">
        <v>5350</v>
      </c>
      <c r="F35" s="28">
        <v>15</v>
      </c>
      <c r="G35" s="15">
        <v>0</v>
      </c>
      <c r="H35" s="15">
        <f t="shared" si="17"/>
        <v>5350</v>
      </c>
      <c r="I35" s="15">
        <v>0</v>
      </c>
      <c r="J35" s="15">
        <v>588.20000000000005</v>
      </c>
      <c r="K35" s="15">
        <f t="shared" si="18"/>
        <v>588.20000000000005</v>
      </c>
      <c r="L35" s="15">
        <v>0</v>
      </c>
      <c r="M35" s="15">
        <v>0</v>
      </c>
      <c r="N35" s="15">
        <f t="shared" si="14"/>
        <v>561.75</v>
      </c>
      <c r="O35" s="15">
        <f t="shared" si="19"/>
        <v>1149.95</v>
      </c>
      <c r="P35" s="18">
        <f t="shared" si="15"/>
        <v>4200.05</v>
      </c>
      <c r="Q35" s="10">
        <v>510.86</v>
      </c>
      <c r="R35" s="10">
        <v>882.75</v>
      </c>
      <c r="S35" s="35">
        <f t="shared" si="16"/>
        <v>1393.6100000000001</v>
      </c>
    </row>
    <row r="36" spans="1:19" x14ac:dyDescent="0.25">
      <c r="B36" t="s">
        <v>126</v>
      </c>
      <c r="C36" t="s">
        <v>94</v>
      </c>
      <c r="D36" t="s">
        <v>81</v>
      </c>
      <c r="E36" s="15">
        <v>5350</v>
      </c>
      <c r="F36" s="28">
        <v>15</v>
      </c>
      <c r="G36" s="15">
        <v>0</v>
      </c>
      <c r="H36" s="15">
        <f t="shared" si="17"/>
        <v>5350</v>
      </c>
      <c r="I36" s="15">
        <v>0</v>
      </c>
      <c r="J36" s="15">
        <v>588.20000000000005</v>
      </c>
      <c r="K36" s="15">
        <f t="shared" si="18"/>
        <v>588.20000000000005</v>
      </c>
      <c r="L36" s="15">
        <v>0</v>
      </c>
      <c r="M36" s="15">
        <v>0</v>
      </c>
      <c r="N36" s="15">
        <f t="shared" si="14"/>
        <v>561.75</v>
      </c>
      <c r="O36" s="15">
        <f t="shared" si="19"/>
        <v>1149.95</v>
      </c>
      <c r="P36" s="18">
        <f t="shared" si="15"/>
        <v>4200.05</v>
      </c>
      <c r="Q36" s="10">
        <v>510.86</v>
      </c>
      <c r="R36" s="10">
        <v>882.75</v>
      </c>
      <c r="S36" s="35">
        <f t="shared" si="16"/>
        <v>1393.6100000000001</v>
      </c>
    </row>
    <row r="37" spans="1:19" x14ac:dyDescent="0.25">
      <c r="B37" t="s">
        <v>127</v>
      </c>
      <c r="C37" t="s">
        <v>98</v>
      </c>
      <c r="D37" t="s">
        <v>81</v>
      </c>
      <c r="E37" s="15">
        <v>5350</v>
      </c>
      <c r="F37" s="28">
        <v>15</v>
      </c>
      <c r="G37" s="15">
        <v>0</v>
      </c>
      <c r="H37" s="15">
        <f t="shared" si="17"/>
        <v>5350</v>
      </c>
      <c r="I37" s="15">
        <v>0</v>
      </c>
      <c r="J37" s="15">
        <v>588.20000000000005</v>
      </c>
      <c r="K37" s="15">
        <f t="shared" si="18"/>
        <v>588.20000000000005</v>
      </c>
      <c r="L37" s="15">
        <v>0</v>
      </c>
      <c r="M37" s="15">
        <v>0</v>
      </c>
      <c r="N37" s="15">
        <f t="shared" si="14"/>
        <v>561.75</v>
      </c>
      <c r="O37" s="15">
        <f t="shared" si="19"/>
        <v>1149.95</v>
      </c>
      <c r="P37" s="18">
        <f t="shared" si="15"/>
        <v>4200.05</v>
      </c>
      <c r="Q37" s="10">
        <v>510.86</v>
      </c>
      <c r="R37" s="10">
        <v>882.75</v>
      </c>
      <c r="S37" s="35">
        <f t="shared" si="16"/>
        <v>1393.6100000000001</v>
      </c>
    </row>
    <row r="38" spans="1:19" x14ac:dyDescent="0.25">
      <c r="B38" t="s">
        <v>128</v>
      </c>
      <c r="C38" t="s">
        <v>101</v>
      </c>
      <c r="D38" t="s">
        <v>81</v>
      </c>
      <c r="E38" s="15">
        <v>5350</v>
      </c>
      <c r="F38" s="28">
        <v>15</v>
      </c>
      <c r="G38" s="15">
        <v>0</v>
      </c>
      <c r="H38" s="15">
        <f t="shared" si="17"/>
        <v>5350</v>
      </c>
      <c r="I38" s="15">
        <v>0</v>
      </c>
      <c r="J38" s="15">
        <v>588.20000000000005</v>
      </c>
      <c r="K38" s="15">
        <f t="shared" si="18"/>
        <v>588.20000000000005</v>
      </c>
      <c r="L38" s="15">
        <v>0</v>
      </c>
      <c r="M38" s="15">
        <v>0</v>
      </c>
      <c r="N38" s="15">
        <f t="shared" si="14"/>
        <v>561.75</v>
      </c>
      <c r="O38" s="15">
        <f t="shared" si="19"/>
        <v>1149.95</v>
      </c>
      <c r="P38" s="18">
        <f t="shared" si="15"/>
        <v>4200.05</v>
      </c>
      <c r="Q38" s="10">
        <v>510.86</v>
      </c>
      <c r="R38" s="10">
        <v>882.75</v>
      </c>
      <c r="S38" s="35">
        <f t="shared" si="16"/>
        <v>1393.6100000000001</v>
      </c>
    </row>
    <row r="39" spans="1:19" x14ac:dyDescent="0.25">
      <c r="B39" t="s">
        <v>129</v>
      </c>
      <c r="C39" t="s">
        <v>95</v>
      </c>
      <c r="D39" t="s">
        <v>82</v>
      </c>
      <c r="E39" s="15">
        <v>5350</v>
      </c>
      <c r="F39" s="28">
        <v>15</v>
      </c>
      <c r="G39" s="15">
        <v>0</v>
      </c>
      <c r="H39" s="15">
        <f t="shared" si="17"/>
        <v>5350</v>
      </c>
      <c r="I39" s="15">
        <v>0</v>
      </c>
      <c r="J39" s="15">
        <v>588.20000000000005</v>
      </c>
      <c r="K39" s="15">
        <f t="shared" si="18"/>
        <v>588.20000000000005</v>
      </c>
      <c r="L39" s="15">
        <v>0</v>
      </c>
      <c r="M39" s="15">
        <v>0</v>
      </c>
      <c r="N39" s="15">
        <f t="shared" si="14"/>
        <v>561.75</v>
      </c>
      <c r="O39" s="15">
        <f t="shared" si="19"/>
        <v>1149.95</v>
      </c>
      <c r="P39" s="18">
        <f t="shared" si="15"/>
        <v>4200.05</v>
      </c>
      <c r="Q39" s="10">
        <v>510.86</v>
      </c>
      <c r="R39" s="10">
        <v>882.75</v>
      </c>
      <c r="S39" s="35">
        <f t="shared" si="16"/>
        <v>1393.6100000000001</v>
      </c>
    </row>
    <row r="40" spans="1:19" x14ac:dyDescent="0.25">
      <c r="B40" t="s">
        <v>130</v>
      </c>
      <c r="C40" t="s">
        <v>102</v>
      </c>
      <c r="D40" t="s">
        <v>82</v>
      </c>
      <c r="E40" s="15">
        <v>5350</v>
      </c>
      <c r="F40" s="28">
        <v>15</v>
      </c>
      <c r="G40" s="15">
        <v>0</v>
      </c>
      <c r="H40" s="15">
        <f t="shared" si="17"/>
        <v>5350</v>
      </c>
      <c r="I40" s="15">
        <v>0</v>
      </c>
      <c r="J40" s="15">
        <v>588.20000000000005</v>
      </c>
      <c r="K40" s="15">
        <f t="shared" si="18"/>
        <v>588.20000000000005</v>
      </c>
      <c r="L40" s="15">
        <v>0</v>
      </c>
      <c r="M40" s="15">
        <v>0</v>
      </c>
      <c r="N40" s="15">
        <f t="shared" si="14"/>
        <v>561.75</v>
      </c>
      <c r="O40" s="15">
        <f t="shared" si="19"/>
        <v>1149.95</v>
      </c>
      <c r="P40" s="18">
        <f t="shared" si="15"/>
        <v>4200.05</v>
      </c>
      <c r="Q40" s="10">
        <v>510.86</v>
      </c>
      <c r="R40" s="10">
        <v>882.75</v>
      </c>
      <c r="S40" s="35">
        <f t="shared" si="16"/>
        <v>1393.6100000000001</v>
      </c>
    </row>
    <row r="41" spans="1:19" x14ac:dyDescent="0.25">
      <c r="B41" t="s">
        <v>131</v>
      </c>
      <c r="C41" t="s">
        <v>85</v>
      </c>
      <c r="D41" t="s">
        <v>83</v>
      </c>
      <c r="E41" s="15">
        <v>5350</v>
      </c>
      <c r="F41" s="28">
        <v>15</v>
      </c>
      <c r="G41" s="15">
        <v>0</v>
      </c>
      <c r="H41" s="15">
        <f t="shared" si="17"/>
        <v>5350</v>
      </c>
      <c r="I41" s="15">
        <v>0</v>
      </c>
      <c r="J41" s="15">
        <v>588.20000000000005</v>
      </c>
      <c r="K41" s="15">
        <f t="shared" si="18"/>
        <v>588.20000000000005</v>
      </c>
      <c r="L41" s="15">
        <v>0</v>
      </c>
      <c r="M41" s="15">
        <v>0</v>
      </c>
      <c r="N41" s="15">
        <f t="shared" si="14"/>
        <v>561.75</v>
      </c>
      <c r="O41" s="15">
        <f t="shared" si="19"/>
        <v>1149.95</v>
      </c>
      <c r="P41" s="18">
        <f t="shared" si="15"/>
        <v>4200.05</v>
      </c>
      <c r="Q41" s="10">
        <v>510.86</v>
      </c>
      <c r="R41" s="10">
        <v>882.75</v>
      </c>
      <c r="S41" s="35">
        <f t="shared" si="16"/>
        <v>1393.6100000000001</v>
      </c>
    </row>
    <row r="42" spans="1:19" x14ac:dyDescent="0.25">
      <c r="B42" t="s">
        <v>132</v>
      </c>
      <c r="C42" t="s">
        <v>103</v>
      </c>
      <c r="D42" t="s">
        <v>83</v>
      </c>
      <c r="E42" s="15">
        <v>5350</v>
      </c>
      <c r="F42" s="28">
        <v>15</v>
      </c>
      <c r="G42" s="15">
        <v>0</v>
      </c>
      <c r="H42" s="15">
        <f t="shared" si="17"/>
        <v>5350</v>
      </c>
      <c r="I42" s="15">
        <v>0</v>
      </c>
      <c r="J42" s="15">
        <v>588.20000000000005</v>
      </c>
      <c r="K42" s="15">
        <f t="shared" si="18"/>
        <v>588.20000000000005</v>
      </c>
      <c r="L42" s="15">
        <v>0</v>
      </c>
      <c r="M42" s="15">
        <v>0</v>
      </c>
      <c r="N42" s="15">
        <f t="shared" si="14"/>
        <v>561.75</v>
      </c>
      <c r="O42" s="15">
        <f t="shared" si="19"/>
        <v>1149.95</v>
      </c>
      <c r="P42" s="18">
        <f t="shared" si="15"/>
        <v>4200.05</v>
      </c>
      <c r="Q42" s="10">
        <v>510.86</v>
      </c>
      <c r="R42" s="10">
        <v>882.75</v>
      </c>
      <c r="S42" s="35">
        <f t="shared" si="16"/>
        <v>1393.6100000000001</v>
      </c>
    </row>
    <row r="43" spans="1:19" x14ac:dyDescent="0.25">
      <c r="A43" t="s">
        <v>138</v>
      </c>
      <c r="B43" s="2" t="s">
        <v>26</v>
      </c>
      <c r="E43" s="34">
        <f>SUM(E32:E42)</f>
        <v>58493</v>
      </c>
      <c r="F43" s="34"/>
      <c r="G43" s="34">
        <f>SUM(G32:G42)</f>
        <v>0</v>
      </c>
      <c r="H43" s="34">
        <f>SUM(H32:H42)</f>
        <v>58493</v>
      </c>
      <c r="I43" s="34">
        <f t="shared" ref="I43:S43" si="20">SUM(I32:I42)</f>
        <v>0</v>
      </c>
      <c r="J43" s="34">
        <f t="shared" si="20"/>
        <v>6399.3799999999992</v>
      </c>
      <c r="K43" s="34">
        <f t="shared" si="20"/>
        <v>6399.3799999999992</v>
      </c>
      <c r="L43" s="34">
        <f t="shared" si="20"/>
        <v>0</v>
      </c>
      <c r="M43" s="34">
        <f t="shared" si="20"/>
        <v>0</v>
      </c>
      <c r="N43" s="34">
        <f t="shared" si="20"/>
        <v>6141.7649999999994</v>
      </c>
      <c r="O43" s="34">
        <f t="shared" si="20"/>
        <v>12541.145000000002</v>
      </c>
      <c r="P43" s="34">
        <f t="shared" si="20"/>
        <v>45951.85500000001</v>
      </c>
      <c r="Q43" s="34">
        <f t="shared" si="20"/>
        <v>5619.46</v>
      </c>
      <c r="R43" s="34">
        <f t="shared" si="20"/>
        <v>9710.25</v>
      </c>
      <c r="S43" s="34">
        <f t="shared" si="20"/>
        <v>15329.710000000005</v>
      </c>
    </row>
    <row r="44" spans="1:19" x14ac:dyDescent="0.25"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9" x14ac:dyDescent="0.25">
      <c r="B45" s="2" t="s">
        <v>140</v>
      </c>
      <c r="C45" s="2" t="s">
        <v>64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9" x14ac:dyDescent="0.25">
      <c r="B46" t="s">
        <v>133</v>
      </c>
      <c r="C46" t="s">
        <v>99</v>
      </c>
      <c r="D46" t="s">
        <v>80</v>
      </c>
      <c r="E46" s="15">
        <v>4993</v>
      </c>
      <c r="F46" s="28">
        <v>14</v>
      </c>
      <c r="G46" s="15">
        <v>0</v>
      </c>
      <c r="H46" s="15">
        <f>E46+G46</f>
        <v>4993</v>
      </c>
      <c r="I46" s="15">
        <v>0</v>
      </c>
      <c r="J46" s="15">
        <v>517.38</v>
      </c>
      <c r="K46" s="15">
        <f>J46-I46</f>
        <v>517.38</v>
      </c>
      <c r="L46" s="15">
        <v>0</v>
      </c>
      <c r="M46" s="15">
        <v>0</v>
      </c>
      <c r="N46" s="15">
        <f>E46*0.105</f>
        <v>524.26499999999999</v>
      </c>
      <c r="O46" s="15">
        <f>SUM(K46:N46)</f>
        <v>1041.645</v>
      </c>
      <c r="P46" s="18">
        <f>H46-O46</f>
        <v>3951.355</v>
      </c>
      <c r="Q46" s="10">
        <v>510.86</v>
      </c>
      <c r="R46" s="10">
        <v>882.75</v>
      </c>
      <c r="S46" s="35">
        <f t="shared" ref="S46" si="21">Q46+R46</f>
        <v>1393.6100000000001</v>
      </c>
    </row>
    <row r="47" spans="1:19" x14ac:dyDescent="0.25">
      <c r="A47" t="s">
        <v>139</v>
      </c>
      <c r="B47" s="2" t="s">
        <v>26</v>
      </c>
      <c r="E47" s="34">
        <f>E46</f>
        <v>4993</v>
      </c>
      <c r="F47" s="34"/>
      <c r="G47" s="34">
        <f>G46</f>
        <v>0</v>
      </c>
      <c r="H47" s="34">
        <f>H46</f>
        <v>4993</v>
      </c>
      <c r="I47" s="34">
        <f t="shared" ref="I47:S47" si="22">I46</f>
        <v>0</v>
      </c>
      <c r="J47" s="34">
        <f t="shared" si="22"/>
        <v>517.38</v>
      </c>
      <c r="K47" s="34">
        <f t="shared" si="22"/>
        <v>517.38</v>
      </c>
      <c r="L47" s="34">
        <f t="shared" si="22"/>
        <v>0</v>
      </c>
      <c r="M47" s="34">
        <f t="shared" si="22"/>
        <v>0</v>
      </c>
      <c r="N47" s="34">
        <f t="shared" si="22"/>
        <v>524.26499999999999</v>
      </c>
      <c r="O47" s="34">
        <f t="shared" si="22"/>
        <v>1041.645</v>
      </c>
      <c r="P47" s="34">
        <f t="shared" si="22"/>
        <v>3951.355</v>
      </c>
      <c r="Q47" s="34">
        <f t="shared" si="22"/>
        <v>510.86</v>
      </c>
      <c r="R47" s="34">
        <f t="shared" si="22"/>
        <v>882.75</v>
      </c>
      <c r="S47" s="34">
        <f t="shared" si="22"/>
        <v>1393.6100000000001</v>
      </c>
    </row>
    <row r="48" spans="1:19" x14ac:dyDescent="0.25">
      <c r="B48" s="2"/>
      <c r="E48" s="15"/>
      <c r="F48" s="15"/>
      <c r="G48" s="15"/>
      <c r="H48" s="16"/>
      <c r="I48" s="16"/>
      <c r="J48" s="16"/>
      <c r="K48" s="16"/>
      <c r="L48" s="16"/>
      <c r="M48" s="16"/>
      <c r="N48" s="16"/>
      <c r="O48" s="16"/>
      <c r="P48" s="16"/>
      <c r="Q48" s="8"/>
      <c r="R48" s="8"/>
      <c r="S48" s="8"/>
    </row>
    <row r="49" spans="4:19" x14ac:dyDescent="0.25"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4:19" ht="18.75" x14ac:dyDescent="0.3">
      <c r="D50" s="4" t="s">
        <v>105</v>
      </c>
      <c r="E50" s="17">
        <f>E8+E19+E24+E29+E43+E47+E48</f>
        <v>152534.28</v>
      </c>
      <c r="F50" s="17">
        <f t="shared" ref="F50:S50" si="23">F8+F19+F24+F29+F43+F47+F48</f>
        <v>0</v>
      </c>
      <c r="G50" s="17">
        <f t="shared" si="23"/>
        <v>0</v>
      </c>
      <c r="H50" s="17">
        <f t="shared" si="23"/>
        <v>152534.28</v>
      </c>
      <c r="I50" s="17">
        <f t="shared" si="23"/>
        <v>274.08999999999997</v>
      </c>
      <c r="J50" s="17">
        <f t="shared" si="23"/>
        <v>18699.04</v>
      </c>
      <c r="K50" s="17">
        <f t="shared" si="23"/>
        <v>18424.95</v>
      </c>
      <c r="L50" s="17">
        <f t="shared" si="23"/>
        <v>0</v>
      </c>
      <c r="M50" s="17">
        <f t="shared" si="23"/>
        <v>0</v>
      </c>
      <c r="N50" s="17">
        <f t="shared" si="23"/>
        <v>16016.099399999999</v>
      </c>
      <c r="O50" s="17">
        <f t="shared" si="23"/>
        <v>34441.049400000004</v>
      </c>
      <c r="P50" s="17">
        <f t="shared" si="23"/>
        <v>118093.23060000001</v>
      </c>
      <c r="Q50" s="17">
        <f t="shared" si="23"/>
        <v>14204.14</v>
      </c>
      <c r="R50" s="17">
        <f t="shared" si="23"/>
        <v>25427.309999999998</v>
      </c>
      <c r="S50" s="17">
        <f t="shared" si="23"/>
        <v>39631.450000000004</v>
      </c>
    </row>
    <row r="53" spans="4:19" ht="15.75" thickBot="1" x14ac:dyDescent="0.3">
      <c r="E53" s="375"/>
      <c r="F53" s="375"/>
      <c r="G53" s="375"/>
      <c r="J53" s="375"/>
      <c r="K53" s="375"/>
      <c r="L53" s="375"/>
    </row>
    <row r="54" spans="4:19" x14ac:dyDescent="0.25">
      <c r="E54" s="377" t="s">
        <v>146</v>
      </c>
      <c r="F54" s="377"/>
      <c r="G54" s="377"/>
      <c r="J54" s="378" t="s">
        <v>145</v>
      </c>
      <c r="K54" s="378"/>
      <c r="L54" s="378"/>
    </row>
    <row r="55" spans="4:19" ht="15.75" x14ac:dyDescent="0.3">
      <c r="E55" s="379" t="s">
        <v>144</v>
      </c>
      <c r="F55" s="379"/>
      <c r="G55" s="377"/>
      <c r="J55" s="379" t="s">
        <v>145</v>
      </c>
      <c r="K55" s="379"/>
      <c r="L55" s="379"/>
    </row>
  </sheetData>
  <mergeCells count="8">
    <mergeCell ref="E55:G55"/>
    <mergeCell ref="J55:L55"/>
    <mergeCell ref="C1:D1"/>
    <mergeCell ref="E2:S2"/>
    <mergeCell ref="E53:G53"/>
    <mergeCell ref="J53:L53"/>
    <mergeCell ref="E54:G54"/>
    <mergeCell ref="J54:L54"/>
  </mergeCells>
  <pageMargins left="0.7" right="0.7" top="0.75" bottom="0.75" header="0.3" footer="0.3"/>
  <pageSetup paperSize="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workbookViewId="0">
      <pane xSplit="4" ySplit="3" topLeftCell="K31" activePane="bottomRight" state="frozen"/>
      <selection pane="topRight" activeCell="E1" sqref="E1"/>
      <selection pane="bottomLeft" activeCell="A4" sqref="A4"/>
      <selection pane="bottomRight" activeCell="P17" sqref="P17"/>
    </sheetView>
  </sheetViews>
  <sheetFormatPr baseColWidth="10" defaultRowHeight="15" x14ac:dyDescent="0.25"/>
  <cols>
    <col min="3" max="3" width="33.42578125" customWidth="1"/>
    <col min="4" max="4" width="27" customWidth="1"/>
    <col min="5" max="6" width="18.7109375" customWidth="1"/>
    <col min="7" max="7" width="14.42578125" customWidth="1"/>
    <col min="8" max="8" width="17.28515625" customWidth="1"/>
    <col min="9" max="9" width="12.85546875" customWidth="1"/>
    <col min="10" max="10" width="14.28515625" customWidth="1"/>
    <col min="11" max="11" width="12.85546875" customWidth="1"/>
    <col min="14" max="14" width="16" customWidth="1"/>
    <col min="15" max="15" width="17.42578125" customWidth="1"/>
    <col min="16" max="16" width="20.140625" customWidth="1"/>
    <col min="17" max="17" width="13.85546875" customWidth="1"/>
    <col min="18" max="18" width="14.28515625" customWidth="1"/>
    <col min="19" max="19" width="16.140625" customWidth="1"/>
  </cols>
  <sheetData>
    <row r="1" spans="1:19" ht="18.75" x14ac:dyDescent="0.25">
      <c r="C1" s="372" t="s">
        <v>151</v>
      </c>
      <c r="D1" s="372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9" ht="15.75" thickBot="1" x14ac:dyDescent="0.3">
      <c r="E2" s="367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9"/>
    </row>
    <row r="3" spans="1:19" ht="35.25" thickTop="1" thickBot="1" x14ac:dyDescent="0.3">
      <c r="B3" s="42" t="s">
        <v>9</v>
      </c>
      <c r="C3" s="43" t="s">
        <v>10</v>
      </c>
      <c r="D3" s="43" t="s">
        <v>0</v>
      </c>
      <c r="E3" s="44" t="s">
        <v>11</v>
      </c>
      <c r="F3" s="44" t="s">
        <v>150</v>
      </c>
      <c r="G3" s="45" t="s">
        <v>113</v>
      </c>
      <c r="H3" s="44" t="s">
        <v>12</v>
      </c>
      <c r="I3" s="44" t="s">
        <v>107</v>
      </c>
      <c r="J3" s="44" t="s">
        <v>143</v>
      </c>
      <c r="K3" s="44" t="s">
        <v>13</v>
      </c>
      <c r="L3" s="44" t="s">
        <v>15</v>
      </c>
      <c r="M3" s="44" t="s">
        <v>106</v>
      </c>
      <c r="N3" s="44" t="s">
        <v>16</v>
      </c>
      <c r="O3" s="44" t="s">
        <v>17</v>
      </c>
      <c r="P3" s="44" t="s">
        <v>72</v>
      </c>
      <c r="Q3" s="43" t="s">
        <v>8</v>
      </c>
      <c r="R3" s="43" t="s">
        <v>18</v>
      </c>
      <c r="S3" s="46" t="s">
        <v>73</v>
      </c>
    </row>
    <row r="4" spans="1:19" ht="15.75" thickTop="1" x14ac:dyDescent="0.25">
      <c r="B4" s="2" t="s">
        <v>19</v>
      </c>
      <c r="C4" s="2" t="s">
        <v>20</v>
      </c>
      <c r="D4" s="2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9" x14ac:dyDescent="0.25">
      <c r="B5" t="s">
        <v>21</v>
      </c>
      <c r="C5" s="11" t="s">
        <v>22</v>
      </c>
      <c r="D5" t="s">
        <v>25</v>
      </c>
      <c r="E5" s="15">
        <v>16954.95</v>
      </c>
      <c r="F5" s="29">
        <v>15</v>
      </c>
      <c r="G5" s="15">
        <v>0</v>
      </c>
      <c r="H5" s="15">
        <f>E5+G5</f>
        <v>16954.95</v>
      </c>
      <c r="I5" s="15">
        <v>0</v>
      </c>
      <c r="J5" s="15">
        <v>3246.93</v>
      </c>
      <c r="K5" s="15">
        <f>J5-I5</f>
        <v>3246.93</v>
      </c>
      <c r="L5" s="15">
        <v>0</v>
      </c>
      <c r="M5" s="15">
        <v>0</v>
      </c>
      <c r="N5" s="15">
        <f>E5*0.105</f>
        <v>1780.2697499999999</v>
      </c>
      <c r="O5" s="15">
        <f>SUM(K5:N5)</f>
        <v>5027.1997499999998</v>
      </c>
      <c r="P5" s="18">
        <f>H5-O5</f>
        <v>11927.750250000001</v>
      </c>
      <c r="Q5" s="10">
        <v>1223.77</v>
      </c>
      <c r="R5" s="10">
        <v>2797.56</v>
      </c>
      <c r="S5" s="35">
        <f>SUM(Q5:R5)</f>
        <v>4021.33</v>
      </c>
    </row>
    <row r="6" spans="1:19" x14ac:dyDescent="0.25">
      <c r="B6" t="s">
        <v>23</v>
      </c>
      <c r="C6" s="11" t="s">
        <v>24</v>
      </c>
      <c r="D6" t="s">
        <v>3</v>
      </c>
      <c r="E6" s="15">
        <v>4850</v>
      </c>
      <c r="F6" s="29">
        <v>15</v>
      </c>
      <c r="G6" s="15">
        <v>0</v>
      </c>
      <c r="H6" s="15">
        <f t="shared" ref="H6:H7" si="0">E6+G6</f>
        <v>4850</v>
      </c>
      <c r="I6" s="15">
        <v>0</v>
      </c>
      <c r="J6" s="15">
        <v>491.69</v>
      </c>
      <c r="K6" s="15">
        <f t="shared" ref="K6:K7" si="1">J6-I6</f>
        <v>491.69</v>
      </c>
      <c r="L6" s="15">
        <v>0</v>
      </c>
      <c r="M6" s="15">
        <v>0</v>
      </c>
      <c r="N6" s="15">
        <f>E6*0.105</f>
        <v>509.25</v>
      </c>
      <c r="O6" s="15">
        <f t="shared" ref="O6:O7" si="2">SUM(K6:N6)</f>
        <v>1000.94</v>
      </c>
      <c r="P6" s="18">
        <f>H6-O6</f>
        <v>3849.06</v>
      </c>
      <c r="Q6" s="10">
        <v>480.14</v>
      </c>
      <c r="R6" s="10">
        <v>800.25</v>
      </c>
      <c r="S6" s="35">
        <f t="shared" ref="S6:S7" si="3">SUM(Q6:R6)</f>
        <v>1280.3899999999999</v>
      </c>
    </row>
    <row r="7" spans="1:19" x14ac:dyDescent="0.25">
      <c r="B7" t="s">
        <v>41</v>
      </c>
      <c r="C7" s="11" t="s">
        <v>42</v>
      </c>
      <c r="D7" t="s">
        <v>2</v>
      </c>
      <c r="E7" s="15">
        <v>10000</v>
      </c>
      <c r="F7" s="29">
        <v>15</v>
      </c>
      <c r="G7" s="15">
        <v>0</v>
      </c>
      <c r="H7" s="15">
        <f t="shared" si="0"/>
        <v>10000</v>
      </c>
      <c r="I7" s="15">
        <v>0</v>
      </c>
      <c r="J7" s="15">
        <v>1581.44</v>
      </c>
      <c r="K7" s="15">
        <f t="shared" si="1"/>
        <v>1581.44</v>
      </c>
      <c r="L7" s="15">
        <v>0</v>
      </c>
      <c r="M7" s="15">
        <v>0</v>
      </c>
      <c r="N7" s="15">
        <f>E7*0.105</f>
        <v>1050</v>
      </c>
      <c r="O7" s="15">
        <f t="shared" si="2"/>
        <v>2631.44</v>
      </c>
      <c r="P7" s="18">
        <f>H7-O7</f>
        <v>7368.5599999999995</v>
      </c>
      <c r="Q7" s="10">
        <v>796.52</v>
      </c>
      <c r="R7" s="10">
        <v>1650</v>
      </c>
      <c r="S7" s="35">
        <f t="shared" si="3"/>
        <v>2446.52</v>
      </c>
    </row>
    <row r="8" spans="1:19" x14ac:dyDescent="0.25">
      <c r="A8" t="s">
        <v>135</v>
      </c>
      <c r="B8" s="7" t="s">
        <v>26</v>
      </c>
      <c r="E8" s="34">
        <f>SUM(E5:E7)</f>
        <v>31804.95</v>
      </c>
      <c r="F8" s="34"/>
      <c r="G8" s="34">
        <f>SUM(G5:G7)</f>
        <v>0</v>
      </c>
      <c r="H8" s="34">
        <f>SUM(H5:H7)</f>
        <v>31804.95</v>
      </c>
      <c r="I8" s="34">
        <f t="shared" ref="I8:S8" si="4">SUM(I5:I7)</f>
        <v>0</v>
      </c>
      <c r="J8" s="34">
        <f t="shared" si="4"/>
        <v>5320.0599999999995</v>
      </c>
      <c r="K8" s="34">
        <f t="shared" si="4"/>
        <v>5320.0599999999995</v>
      </c>
      <c r="L8" s="34">
        <f t="shared" si="4"/>
        <v>0</v>
      </c>
      <c r="M8" s="34">
        <f t="shared" si="4"/>
        <v>0</v>
      </c>
      <c r="N8" s="34">
        <f t="shared" si="4"/>
        <v>3339.5197499999999</v>
      </c>
      <c r="O8" s="34">
        <f t="shared" si="4"/>
        <v>8659.5797500000008</v>
      </c>
      <c r="P8" s="34">
        <f t="shared" si="4"/>
        <v>23145.37025</v>
      </c>
      <c r="Q8" s="34">
        <f t="shared" si="4"/>
        <v>2500.4299999999998</v>
      </c>
      <c r="R8" s="34">
        <f t="shared" si="4"/>
        <v>5247.8099999999995</v>
      </c>
      <c r="S8" s="34">
        <f t="shared" si="4"/>
        <v>7748.24</v>
      </c>
    </row>
    <row r="9" spans="1:19" x14ac:dyDescent="0.25"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9" x14ac:dyDescent="0.25">
      <c r="B10" s="2" t="s">
        <v>27</v>
      </c>
      <c r="C10" s="2" t="s">
        <v>28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9" x14ac:dyDescent="0.25">
      <c r="B11" t="s">
        <v>32</v>
      </c>
      <c r="C11" s="11" t="s">
        <v>37</v>
      </c>
      <c r="D11" t="s">
        <v>1</v>
      </c>
      <c r="E11" s="15">
        <v>10000</v>
      </c>
      <c r="F11" s="29">
        <v>15</v>
      </c>
      <c r="G11" s="15">
        <v>0</v>
      </c>
      <c r="H11" s="15">
        <f>E11+G11</f>
        <v>10000</v>
      </c>
      <c r="I11" s="15">
        <v>0</v>
      </c>
      <c r="J11" s="15">
        <v>1581.44</v>
      </c>
      <c r="K11" s="15">
        <f>J11-I11</f>
        <v>1581.44</v>
      </c>
      <c r="L11" s="15">
        <v>0</v>
      </c>
      <c r="M11" s="15">
        <v>0</v>
      </c>
      <c r="N11" s="15">
        <f t="shared" ref="N11:N18" si="5">E11*0.105</f>
        <v>1050</v>
      </c>
      <c r="O11" s="15">
        <f t="shared" ref="O11:O16" si="6">SUM(K11:N11)</f>
        <v>2631.44</v>
      </c>
      <c r="P11" s="18">
        <f t="shared" ref="P11:P18" si="7">H11-O11</f>
        <v>7368.5599999999995</v>
      </c>
      <c r="Q11" s="10">
        <v>796.52</v>
      </c>
      <c r="R11" s="10">
        <v>1650</v>
      </c>
      <c r="S11" s="35">
        <f>Q11+R11</f>
        <v>2446.52</v>
      </c>
    </row>
    <row r="12" spans="1:19" x14ac:dyDescent="0.25">
      <c r="B12" t="s">
        <v>33</v>
      </c>
      <c r="C12" s="11" t="s">
        <v>38</v>
      </c>
      <c r="D12" t="s">
        <v>74</v>
      </c>
      <c r="E12" s="15">
        <v>5350</v>
      </c>
      <c r="F12" s="29">
        <v>15</v>
      </c>
      <c r="G12" s="19">
        <v>0</v>
      </c>
      <c r="H12" s="15">
        <f t="shared" ref="H12:H18" si="8">E12+G12</f>
        <v>5350</v>
      </c>
      <c r="I12" s="15">
        <v>0</v>
      </c>
      <c r="J12" s="15">
        <v>588.20000000000005</v>
      </c>
      <c r="K12" s="15">
        <f t="shared" ref="K12:K16" si="9">J12-I12</f>
        <v>588.20000000000005</v>
      </c>
      <c r="L12" s="15">
        <v>0</v>
      </c>
      <c r="M12" s="15">
        <v>0</v>
      </c>
      <c r="N12" s="15">
        <f t="shared" si="5"/>
        <v>561.75</v>
      </c>
      <c r="O12" s="15">
        <f t="shared" si="6"/>
        <v>1149.95</v>
      </c>
      <c r="P12" s="18">
        <f t="shared" si="7"/>
        <v>4200.05</v>
      </c>
      <c r="Q12" s="10">
        <v>510.86</v>
      </c>
      <c r="R12" s="10">
        <v>882.75</v>
      </c>
      <c r="S12" s="35">
        <f>Q12+R12</f>
        <v>1393.6100000000001</v>
      </c>
    </row>
    <row r="13" spans="1:19" x14ac:dyDescent="0.25">
      <c r="B13" t="s">
        <v>34</v>
      </c>
      <c r="C13" t="s">
        <v>141</v>
      </c>
      <c r="D13" t="s">
        <v>75</v>
      </c>
      <c r="E13" s="21">
        <v>4637</v>
      </c>
      <c r="F13" s="29">
        <v>13</v>
      </c>
      <c r="G13" s="3">
        <v>0</v>
      </c>
      <c r="H13" s="15">
        <f t="shared" si="8"/>
        <v>4637</v>
      </c>
      <c r="I13" s="3">
        <v>0</v>
      </c>
      <c r="J13" s="3">
        <v>453.52</v>
      </c>
      <c r="K13" s="15">
        <v>453.52</v>
      </c>
      <c r="L13" s="3">
        <v>0</v>
      </c>
      <c r="M13" s="3">
        <v>0</v>
      </c>
      <c r="N13" s="15">
        <f t="shared" si="5"/>
        <v>486.88499999999999</v>
      </c>
      <c r="O13" s="15">
        <f t="shared" si="6"/>
        <v>940.40499999999997</v>
      </c>
      <c r="P13" s="18">
        <f t="shared" si="7"/>
        <v>3696.5950000000003</v>
      </c>
      <c r="Q13" s="27">
        <v>510.86</v>
      </c>
      <c r="R13" s="27">
        <v>882.75</v>
      </c>
      <c r="S13" s="35">
        <f>Q13+R13</f>
        <v>1393.6100000000001</v>
      </c>
    </row>
    <row r="14" spans="1:19" x14ac:dyDescent="0.25">
      <c r="B14" t="s">
        <v>35</v>
      </c>
      <c r="C14" t="s">
        <v>111</v>
      </c>
      <c r="D14" t="s">
        <v>77</v>
      </c>
      <c r="E14" s="15">
        <v>6000</v>
      </c>
      <c r="F14" s="29">
        <v>15</v>
      </c>
      <c r="G14" s="15">
        <v>0</v>
      </c>
      <c r="H14" s="15">
        <f t="shared" si="8"/>
        <v>6000</v>
      </c>
      <c r="I14" s="15">
        <v>0</v>
      </c>
      <c r="J14" s="15">
        <v>727.04</v>
      </c>
      <c r="K14" s="15">
        <f t="shared" si="9"/>
        <v>727.04</v>
      </c>
      <c r="L14" s="15">
        <v>0</v>
      </c>
      <c r="M14" s="15">
        <v>0</v>
      </c>
      <c r="N14" s="15">
        <f t="shared" si="5"/>
        <v>630</v>
      </c>
      <c r="O14" s="15">
        <f t="shared" si="6"/>
        <v>1357.04</v>
      </c>
      <c r="P14" s="18">
        <f t="shared" si="7"/>
        <v>4642.96</v>
      </c>
      <c r="Q14" s="10">
        <v>550.79</v>
      </c>
      <c r="R14" s="10">
        <v>990</v>
      </c>
      <c r="S14" s="35">
        <f>Q14+R14</f>
        <v>1540.79</v>
      </c>
    </row>
    <row r="15" spans="1:19" x14ac:dyDescent="0.25">
      <c r="B15" t="s">
        <v>36</v>
      </c>
      <c r="C15" t="s">
        <v>86</v>
      </c>
      <c r="D15" t="s">
        <v>39</v>
      </c>
      <c r="E15" s="15">
        <v>4500</v>
      </c>
      <c r="F15" s="29">
        <v>15</v>
      </c>
      <c r="G15" s="15">
        <v>0</v>
      </c>
      <c r="H15" s="15">
        <f t="shared" si="8"/>
        <v>4500</v>
      </c>
      <c r="I15" s="15">
        <v>0</v>
      </c>
      <c r="J15" s="15">
        <v>428.97</v>
      </c>
      <c r="K15" s="15">
        <f t="shared" si="9"/>
        <v>428.97</v>
      </c>
      <c r="L15" s="15">
        <v>0</v>
      </c>
      <c r="M15" s="15">
        <v>0</v>
      </c>
      <c r="N15" s="15">
        <f t="shared" si="5"/>
        <v>472.5</v>
      </c>
      <c r="O15" s="15">
        <f t="shared" si="6"/>
        <v>901.47</v>
      </c>
      <c r="P15" s="18">
        <f t="shared" si="7"/>
        <v>3598.5299999999997</v>
      </c>
      <c r="Q15" s="10">
        <v>489.36</v>
      </c>
      <c r="R15" s="10">
        <v>825</v>
      </c>
      <c r="S15" s="35">
        <f>Q15+R15</f>
        <v>1314.3600000000001</v>
      </c>
    </row>
    <row r="16" spans="1:19" x14ac:dyDescent="0.25">
      <c r="B16" t="s">
        <v>115</v>
      </c>
      <c r="C16" t="s">
        <v>87</v>
      </c>
      <c r="D16" t="s">
        <v>39</v>
      </c>
      <c r="E16" s="15">
        <v>4500</v>
      </c>
      <c r="F16" s="29">
        <v>15</v>
      </c>
      <c r="G16" s="15">
        <v>0</v>
      </c>
      <c r="H16" s="15">
        <f t="shared" si="8"/>
        <v>4500</v>
      </c>
      <c r="I16" s="15">
        <v>0</v>
      </c>
      <c r="J16" s="15">
        <v>428.97</v>
      </c>
      <c r="K16" s="15">
        <f t="shared" si="9"/>
        <v>428.97</v>
      </c>
      <c r="L16" s="15">
        <v>0</v>
      </c>
      <c r="M16" s="15">
        <v>0</v>
      </c>
      <c r="N16" s="15">
        <f t="shared" si="5"/>
        <v>472.5</v>
      </c>
      <c r="O16" s="15">
        <f t="shared" si="6"/>
        <v>901.47</v>
      </c>
      <c r="P16" s="18">
        <f t="shared" si="7"/>
        <v>3598.5299999999997</v>
      </c>
      <c r="Q16" s="10">
        <v>458.64</v>
      </c>
      <c r="R16" s="10">
        <v>742.5</v>
      </c>
      <c r="S16" s="35">
        <f t="shared" ref="S16:S18" si="10">Q16+R16</f>
        <v>1201.1399999999999</v>
      </c>
    </row>
    <row r="17" spans="1:19" x14ac:dyDescent="0.25">
      <c r="B17" t="s">
        <v>116</v>
      </c>
      <c r="C17" t="s">
        <v>89</v>
      </c>
      <c r="D17" t="s">
        <v>4</v>
      </c>
      <c r="E17" s="15">
        <v>2700</v>
      </c>
      <c r="F17" s="29">
        <v>15</v>
      </c>
      <c r="G17" s="15">
        <v>0</v>
      </c>
      <c r="H17" s="15">
        <f t="shared" si="8"/>
        <v>2700</v>
      </c>
      <c r="I17" s="15">
        <v>147.32</v>
      </c>
      <c r="J17" s="15">
        <v>188.33</v>
      </c>
      <c r="K17" s="15">
        <f>J17-I17</f>
        <v>41.010000000000019</v>
      </c>
      <c r="L17" s="15">
        <v>0</v>
      </c>
      <c r="M17" s="15">
        <v>0</v>
      </c>
      <c r="N17" s="15">
        <f t="shared" si="5"/>
        <v>283.5</v>
      </c>
      <c r="O17" s="15">
        <f>SUM(K17:N17)</f>
        <v>324.51</v>
      </c>
      <c r="P17" s="18">
        <f t="shared" si="7"/>
        <v>2375.4899999999998</v>
      </c>
      <c r="Q17" s="10">
        <v>348.07</v>
      </c>
      <c r="R17" s="10">
        <v>445.5</v>
      </c>
      <c r="S17" s="35">
        <f t="shared" si="10"/>
        <v>793.56999999999994</v>
      </c>
    </row>
    <row r="18" spans="1:19" x14ac:dyDescent="0.25">
      <c r="B18" t="s">
        <v>117</v>
      </c>
      <c r="C18" t="s">
        <v>88</v>
      </c>
      <c r="D18" t="s">
        <v>40</v>
      </c>
      <c r="E18" s="15">
        <v>3150</v>
      </c>
      <c r="F18" s="29">
        <v>15</v>
      </c>
      <c r="G18" s="15">
        <v>0</v>
      </c>
      <c r="H18" s="15">
        <f t="shared" si="8"/>
        <v>3150</v>
      </c>
      <c r="I18" s="15">
        <v>126.77</v>
      </c>
      <c r="J18" s="15">
        <v>237.29</v>
      </c>
      <c r="K18" s="15">
        <f>J18-I18</f>
        <v>110.52</v>
      </c>
      <c r="L18" s="15">
        <v>0</v>
      </c>
      <c r="M18" s="15">
        <v>0</v>
      </c>
      <c r="N18" s="15">
        <f t="shared" si="5"/>
        <v>330.75</v>
      </c>
      <c r="O18" s="15">
        <f>SUM(K18:N18)</f>
        <v>441.27</v>
      </c>
      <c r="P18" s="18">
        <f t="shared" si="7"/>
        <v>2708.73</v>
      </c>
      <c r="Q18" s="10">
        <v>375.71</v>
      </c>
      <c r="R18" s="10">
        <v>519.75</v>
      </c>
      <c r="S18" s="35">
        <f t="shared" si="10"/>
        <v>895.46</v>
      </c>
    </row>
    <row r="19" spans="1:19" x14ac:dyDescent="0.25">
      <c r="A19" t="s">
        <v>136</v>
      </c>
      <c r="B19" s="2" t="s">
        <v>26</v>
      </c>
      <c r="E19" s="34">
        <f t="shared" ref="E19:S19" si="11">SUM(E11:E18)</f>
        <v>40837</v>
      </c>
      <c r="F19" s="34"/>
      <c r="G19" s="34">
        <f t="shared" si="11"/>
        <v>0</v>
      </c>
      <c r="H19" s="34">
        <f t="shared" si="11"/>
        <v>40837</v>
      </c>
      <c r="I19" s="34">
        <f t="shared" si="11"/>
        <v>274.08999999999997</v>
      </c>
      <c r="J19" s="34">
        <f t="shared" si="11"/>
        <v>4633.76</v>
      </c>
      <c r="K19" s="34">
        <f t="shared" si="11"/>
        <v>4359.670000000001</v>
      </c>
      <c r="L19" s="34">
        <f t="shared" si="11"/>
        <v>0</v>
      </c>
      <c r="M19" s="34">
        <f t="shared" si="11"/>
        <v>0</v>
      </c>
      <c r="N19" s="34">
        <f t="shared" si="11"/>
        <v>4287.8850000000002</v>
      </c>
      <c r="O19" s="34">
        <f t="shared" si="11"/>
        <v>8647.5550000000003</v>
      </c>
      <c r="P19" s="34">
        <f t="shared" si="11"/>
        <v>32189.444999999996</v>
      </c>
      <c r="Q19" s="34">
        <f t="shared" si="11"/>
        <v>4040.8100000000004</v>
      </c>
      <c r="R19" s="34">
        <f t="shared" si="11"/>
        <v>6938.25</v>
      </c>
      <c r="S19" s="34">
        <f t="shared" si="11"/>
        <v>10979.059999999998</v>
      </c>
    </row>
    <row r="20" spans="1:19" x14ac:dyDescent="0.25">
      <c r="B20" s="2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9" x14ac:dyDescent="0.25">
      <c r="B21" s="2" t="s">
        <v>43</v>
      </c>
      <c r="C21" s="2" t="s">
        <v>44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9" x14ac:dyDescent="0.25">
      <c r="B22" t="s">
        <v>118</v>
      </c>
      <c r="C22" t="s">
        <v>90</v>
      </c>
      <c r="D22" t="s">
        <v>6</v>
      </c>
      <c r="E22" s="15">
        <v>0</v>
      </c>
      <c r="F22" s="29"/>
      <c r="G22" s="15">
        <v>0</v>
      </c>
      <c r="H22" s="15">
        <v>0</v>
      </c>
      <c r="I22" s="15">
        <v>0</v>
      </c>
      <c r="J22" s="15">
        <v>0</v>
      </c>
      <c r="K22" s="15">
        <f>J22-I22</f>
        <v>0</v>
      </c>
      <c r="L22" s="15">
        <v>0</v>
      </c>
      <c r="M22" s="15">
        <v>0</v>
      </c>
      <c r="N22" s="15">
        <f>E22*0.105</f>
        <v>0</v>
      </c>
      <c r="O22" s="15">
        <f>SUM(K22:N22)</f>
        <v>0</v>
      </c>
      <c r="P22" s="18">
        <v>0</v>
      </c>
      <c r="Q22" s="36">
        <v>0</v>
      </c>
      <c r="R22" s="36">
        <v>0</v>
      </c>
      <c r="S22" s="35">
        <v>0</v>
      </c>
    </row>
    <row r="23" spans="1:19" x14ac:dyDescent="0.25">
      <c r="B23" t="s">
        <v>119</v>
      </c>
      <c r="C23" t="s">
        <v>91</v>
      </c>
      <c r="D23" t="s">
        <v>76</v>
      </c>
      <c r="E23" s="15">
        <v>5350</v>
      </c>
      <c r="F23" s="29">
        <v>15</v>
      </c>
      <c r="G23" s="15">
        <v>0</v>
      </c>
      <c r="H23" s="15">
        <f>E23+G23</f>
        <v>5350</v>
      </c>
      <c r="I23" s="15">
        <v>0</v>
      </c>
      <c r="J23" s="15">
        <v>588.20000000000005</v>
      </c>
      <c r="K23" s="15">
        <f>J23-I23</f>
        <v>588.20000000000005</v>
      </c>
      <c r="L23" s="15">
        <v>0</v>
      </c>
      <c r="M23" s="15">
        <v>0</v>
      </c>
      <c r="N23" s="15">
        <f>E23*0.105</f>
        <v>561.75</v>
      </c>
      <c r="O23" s="15">
        <f>SUM(K23:N23)</f>
        <v>1149.95</v>
      </c>
      <c r="P23" s="18">
        <f>H23-O23</f>
        <v>4200.05</v>
      </c>
      <c r="Q23" s="10">
        <v>510.86</v>
      </c>
      <c r="R23" s="10">
        <v>882.75</v>
      </c>
      <c r="S23" s="35">
        <f>Q23+R23</f>
        <v>1393.6100000000001</v>
      </c>
    </row>
    <row r="24" spans="1:19" x14ac:dyDescent="0.25">
      <c r="A24" t="s">
        <v>134</v>
      </c>
      <c r="B24" s="2" t="s">
        <v>26</v>
      </c>
      <c r="E24" s="34">
        <f>SUM(E22:E23)</f>
        <v>5350</v>
      </c>
      <c r="F24" s="34"/>
      <c r="G24" s="34">
        <f>G23</f>
        <v>0</v>
      </c>
      <c r="H24" s="34">
        <f>SUM(H22:H23)</f>
        <v>5350</v>
      </c>
      <c r="I24" s="34">
        <f t="shared" ref="I24:S24" si="12">SUM(I22:I23)</f>
        <v>0</v>
      </c>
      <c r="J24" s="34">
        <f t="shared" si="12"/>
        <v>588.20000000000005</v>
      </c>
      <c r="K24" s="34">
        <f t="shared" si="12"/>
        <v>588.20000000000005</v>
      </c>
      <c r="L24" s="34">
        <f t="shared" si="12"/>
        <v>0</v>
      </c>
      <c r="M24" s="34">
        <f t="shared" si="12"/>
        <v>0</v>
      </c>
      <c r="N24" s="34">
        <f t="shared" si="12"/>
        <v>561.75</v>
      </c>
      <c r="O24" s="34">
        <f t="shared" si="12"/>
        <v>1149.95</v>
      </c>
      <c r="P24" s="34">
        <f t="shared" si="12"/>
        <v>4200.05</v>
      </c>
      <c r="Q24" s="34">
        <f t="shared" si="12"/>
        <v>510.86</v>
      </c>
      <c r="R24" s="34">
        <f t="shared" si="12"/>
        <v>882.75</v>
      </c>
      <c r="S24" s="34">
        <f t="shared" si="12"/>
        <v>1393.6100000000001</v>
      </c>
    </row>
    <row r="25" spans="1:19" x14ac:dyDescent="0.25"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9" x14ac:dyDescent="0.25">
      <c r="B26" s="2" t="s">
        <v>50</v>
      </c>
      <c r="C26" s="2" t="s">
        <v>47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9" x14ac:dyDescent="0.25">
      <c r="B27" t="s">
        <v>120</v>
      </c>
      <c r="C27" t="s">
        <v>93</v>
      </c>
      <c r="D27" t="s">
        <v>78</v>
      </c>
      <c r="E27" s="15">
        <v>5350</v>
      </c>
      <c r="F27" s="29">
        <v>15</v>
      </c>
      <c r="G27" s="15">
        <v>0</v>
      </c>
      <c r="H27" s="15">
        <f>E27+G27</f>
        <v>5350</v>
      </c>
      <c r="I27" s="15">
        <v>0</v>
      </c>
      <c r="J27" s="15">
        <v>588.20000000000005</v>
      </c>
      <c r="K27" s="15">
        <f>J27-I27</f>
        <v>588.20000000000005</v>
      </c>
      <c r="L27" s="15">
        <v>0</v>
      </c>
      <c r="M27" s="15">
        <v>0</v>
      </c>
      <c r="N27" s="15">
        <f>E27*0.105</f>
        <v>561.75</v>
      </c>
      <c r="O27" s="15">
        <f>SUM(K27:N27)</f>
        <v>1149.95</v>
      </c>
      <c r="P27" s="18">
        <f>H27-O27</f>
        <v>4200.05</v>
      </c>
      <c r="Q27" s="10">
        <v>510.86</v>
      </c>
      <c r="R27" s="10">
        <v>882.75</v>
      </c>
      <c r="S27" s="35">
        <f>Q27+R27</f>
        <v>1393.6100000000001</v>
      </c>
    </row>
    <row r="28" spans="1:19" x14ac:dyDescent="0.25">
      <c r="B28" t="s">
        <v>121</v>
      </c>
      <c r="C28" t="s">
        <v>114</v>
      </c>
      <c r="D28" t="s">
        <v>79</v>
      </c>
      <c r="E28" s="15">
        <v>5350</v>
      </c>
      <c r="F28" s="29">
        <v>15</v>
      </c>
      <c r="G28" s="15">
        <v>0</v>
      </c>
      <c r="H28" s="15">
        <f>E28+G28</f>
        <v>5350</v>
      </c>
      <c r="I28" s="15">
        <v>0</v>
      </c>
      <c r="J28" s="15">
        <v>588.20000000000005</v>
      </c>
      <c r="K28" s="15">
        <f>J28-I28</f>
        <v>588.20000000000005</v>
      </c>
      <c r="L28" s="15">
        <v>0</v>
      </c>
      <c r="M28" s="15">
        <v>0</v>
      </c>
      <c r="N28" s="15">
        <f>E28*0.105</f>
        <v>561.75</v>
      </c>
      <c r="O28" s="15">
        <f>SUM(K28:N28)</f>
        <v>1149.95</v>
      </c>
      <c r="P28" s="18">
        <f>H28-O28</f>
        <v>4200.05</v>
      </c>
      <c r="Q28" s="10">
        <v>510.86</v>
      </c>
      <c r="R28" s="10">
        <v>882.75</v>
      </c>
      <c r="S28" s="35">
        <f>Q28+R28</f>
        <v>1393.6100000000001</v>
      </c>
    </row>
    <row r="29" spans="1:19" x14ac:dyDescent="0.25">
      <c r="A29" t="s">
        <v>137</v>
      </c>
      <c r="B29" s="2" t="s">
        <v>26</v>
      </c>
      <c r="E29" s="34">
        <f>SUM(E27:E28)</f>
        <v>10700</v>
      </c>
      <c r="F29" s="34"/>
      <c r="G29" s="34">
        <f>SUM(G27:G28)</f>
        <v>0</v>
      </c>
      <c r="H29" s="34">
        <f>SUM(H27:H28)</f>
        <v>10700</v>
      </c>
      <c r="I29" s="34">
        <f t="shared" ref="I29:S29" si="13">SUM(I27:I28)</f>
        <v>0</v>
      </c>
      <c r="J29" s="34">
        <f t="shared" si="13"/>
        <v>1176.4000000000001</v>
      </c>
      <c r="K29" s="34">
        <f t="shared" si="13"/>
        <v>1176.4000000000001</v>
      </c>
      <c r="L29" s="34">
        <f t="shared" si="13"/>
        <v>0</v>
      </c>
      <c r="M29" s="34">
        <f t="shared" si="13"/>
        <v>0</v>
      </c>
      <c r="N29" s="34">
        <f t="shared" si="13"/>
        <v>1123.5</v>
      </c>
      <c r="O29" s="34">
        <f t="shared" si="13"/>
        <v>2299.9</v>
      </c>
      <c r="P29" s="34">
        <f t="shared" si="13"/>
        <v>8400.1</v>
      </c>
      <c r="Q29" s="34">
        <f t="shared" si="13"/>
        <v>1021.72</v>
      </c>
      <c r="R29" s="34">
        <f t="shared" si="13"/>
        <v>1765.5</v>
      </c>
      <c r="S29" s="34">
        <f t="shared" si="13"/>
        <v>2787.2200000000003</v>
      </c>
    </row>
    <row r="30" spans="1:19" x14ac:dyDescent="0.25"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9" x14ac:dyDescent="0.25">
      <c r="B31" s="2" t="s">
        <v>63</v>
      </c>
      <c r="C31" s="2" t="s">
        <v>51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9" x14ac:dyDescent="0.25">
      <c r="B32" t="s">
        <v>122</v>
      </c>
      <c r="C32" t="s">
        <v>97</v>
      </c>
      <c r="D32" t="s">
        <v>80</v>
      </c>
      <c r="E32" s="15">
        <v>5350</v>
      </c>
      <c r="F32" s="29">
        <v>15</v>
      </c>
      <c r="G32" s="15">
        <v>0</v>
      </c>
      <c r="H32" s="15">
        <f>E32+G32</f>
        <v>5350</v>
      </c>
      <c r="I32" s="15">
        <v>0</v>
      </c>
      <c r="J32" s="15">
        <v>588.20000000000005</v>
      </c>
      <c r="K32" s="15">
        <f>J32-I32</f>
        <v>588.20000000000005</v>
      </c>
      <c r="L32" s="15">
        <v>0</v>
      </c>
      <c r="M32" s="15">
        <v>0</v>
      </c>
      <c r="N32" s="15">
        <f t="shared" ref="N32:N42" si="14">E32*0.105</f>
        <v>561.75</v>
      </c>
      <c r="O32" s="15">
        <f>SUM(K32:N32)</f>
        <v>1149.95</v>
      </c>
      <c r="P32" s="18">
        <f t="shared" ref="P32:P42" si="15">H32-O32</f>
        <v>4200.05</v>
      </c>
      <c r="Q32" s="10">
        <v>510.86</v>
      </c>
      <c r="R32" s="10">
        <v>882.75</v>
      </c>
      <c r="S32" s="35">
        <f t="shared" ref="S32:S42" si="16">Q32+R32</f>
        <v>1393.6100000000001</v>
      </c>
    </row>
    <row r="33" spans="1:19" x14ac:dyDescent="0.25">
      <c r="B33" t="s">
        <v>123</v>
      </c>
      <c r="C33" t="s">
        <v>100</v>
      </c>
      <c r="D33" t="s">
        <v>80</v>
      </c>
      <c r="E33" s="15">
        <v>5350</v>
      </c>
      <c r="F33" s="29">
        <v>15</v>
      </c>
      <c r="G33" s="15">
        <v>0</v>
      </c>
      <c r="H33" s="15">
        <f t="shared" ref="H33:H42" si="17">E33+G33</f>
        <v>5350</v>
      </c>
      <c r="I33" s="15">
        <v>0</v>
      </c>
      <c r="J33" s="15">
        <v>588.20000000000005</v>
      </c>
      <c r="K33" s="15">
        <f t="shared" ref="K33:K42" si="18">J33-I33</f>
        <v>588.20000000000005</v>
      </c>
      <c r="L33" s="15">
        <v>0</v>
      </c>
      <c r="M33" s="15">
        <v>0</v>
      </c>
      <c r="N33" s="15">
        <f t="shared" si="14"/>
        <v>561.75</v>
      </c>
      <c r="O33" s="15">
        <f t="shared" ref="O33:O42" si="19">SUM(K33:N33)</f>
        <v>1149.95</v>
      </c>
      <c r="P33" s="18">
        <f t="shared" si="15"/>
        <v>4200.05</v>
      </c>
      <c r="Q33" s="10">
        <v>510.86</v>
      </c>
      <c r="R33" s="10">
        <v>882.75</v>
      </c>
      <c r="S33" s="35">
        <f t="shared" si="16"/>
        <v>1393.6100000000001</v>
      </c>
    </row>
    <row r="34" spans="1:19" x14ac:dyDescent="0.25">
      <c r="B34" t="s">
        <v>124</v>
      </c>
      <c r="C34" t="s">
        <v>96</v>
      </c>
      <c r="D34" t="s">
        <v>78</v>
      </c>
      <c r="E34" s="15">
        <v>5350</v>
      </c>
      <c r="F34" s="29">
        <v>15</v>
      </c>
      <c r="G34" s="15">
        <v>0</v>
      </c>
      <c r="H34" s="15">
        <f t="shared" si="17"/>
        <v>5350</v>
      </c>
      <c r="I34" s="15">
        <v>0</v>
      </c>
      <c r="J34" s="15">
        <v>588.20000000000005</v>
      </c>
      <c r="K34" s="15">
        <f t="shared" si="18"/>
        <v>588.20000000000005</v>
      </c>
      <c r="L34" s="15">
        <v>0</v>
      </c>
      <c r="M34" s="15">
        <v>0</v>
      </c>
      <c r="N34" s="15">
        <f t="shared" si="14"/>
        <v>561.75</v>
      </c>
      <c r="O34" s="15">
        <f t="shared" si="19"/>
        <v>1149.95</v>
      </c>
      <c r="P34" s="18">
        <f t="shared" si="15"/>
        <v>4200.05</v>
      </c>
      <c r="Q34" s="10">
        <v>510.86</v>
      </c>
      <c r="R34" s="10">
        <v>882.75</v>
      </c>
      <c r="S34" s="35">
        <f t="shared" si="16"/>
        <v>1393.6100000000001</v>
      </c>
    </row>
    <row r="35" spans="1:19" x14ac:dyDescent="0.25">
      <c r="B35" t="s">
        <v>125</v>
      </c>
      <c r="C35" t="s">
        <v>104</v>
      </c>
      <c r="D35" t="s">
        <v>78</v>
      </c>
      <c r="E35" s="15">
        <v>5350</v>
      </c>
      <c r="F35" s="29">
        <v>15</v>
      </c>
      <c r="G35" s="15">
        <v>0</v>
      </c>
      <c r="H35" s="15">
        <f t="shared" si="17"/>
        <v>5350</v>
      </c>
      <c r="I35" s="15">
        <v>0</v>
      </c>
      <c r="J35" s="15">
        <v>588.20000000000005</v>
      </c>
      <c r="K35" s="15">
        <f t="shared" si="18"/>
        <v>588.20000000000005</v>
      </c>
      <c r="L35" s="15">
        <v>0</v>
      </c>
      <c r="M35" s="15">
        <v>0</v>
      </c>
      <c r="N35" s="15">
        <f t="shared" si="14"/>
        <v>561.75</v>
      </c>
      <c r="O35" s="15">
        <f t="shared" si="19"/>
        <v>1149.95</v>
      </c>
      <c r="P35" s="18">
        <f t="shared" si="15"/>
        <v>4200.05</v>
      </c>
      <c r="Q35" s="10">
        <v>510.86</v>
      </c>
      <c r="R35" s="10">
        <v>882.75</v>
      </c>
      <c r="S35" s="35">
        <f t="shared" si="16"/>
        <v>1393.6100000000001</v>
      </c>
    </row>
    <row r="36" spans="1:19" x14ac:dyDescent="0.25">
      <c r="B36" t="s">
        <v>126</v>
      </c>
      <c r="C36" t="s">
        <v>94</v>
      </c>
      <c r="D36" t="s">
        <v>81</v>
      </c>
      <c r="E36" s="15">
        <v>5350</v>
      </c>
      <c r="F36" s="29">
        <v>15</v>
      </c>
      <c r="G36" s="15">
        <v>0</v>
      </c>
      <c r="H36" s="15">
        <f t="shared" si="17"/>
        <v>5350</v>
      </c>
      <c r="I36" s="15">
        <v>0</v>
      </c>
      <c r="J36" s="15">
        <v>588.20000000000005</v>
      </c>
      <c r="K36" s="15">
        <f t="shared" si="18"/>
        <v>588.20000000000005</v>
      </c>
      <c r="L36" s="15">
        <v>0</v>
      </c>
      <c r="M36" s="15">
        <v>0</v>
      </c>
      <c r="N36" s="15">
        <f t="shared" si="14"/>
        <v>561.75</v>
      </c>
      <c r="O36" s="15">
        <f t="shared" si="19"/>
        <v>1149.95</v>
      </c>
      <c r="P36" s="18">
        <f t="shared" si="15"/>
        <v>4200.05</v>
      </c>
      <c r="Q36" s="10">
        <v>510.86</v>
      </c>
      <c r="R36" s="10">
        <v>882.75</v>
      </c>
      <c r="S36" s="35">
        <f t="shared" si="16"/>
        <v>1393.6100000000001</v>
      </c>
    </row>
    <row r="37" spans="1:19" x14ac:dyDescent="0.25">
      <c r="B37" t="s">
        <v>127</v>
      </c>
      <c r="C37" t="s">
        <v>98</v>
      </c>
      <c r="D37" t="s">
        <v>81</v>
      </c>
      <c r="E37" s="15">
        <v>5350</v>
      </c>
      <c r="F37" s="29">
        <v>15</v>
      </c>
      <c r="G37" s="15">
        <v>0</v>
      </c>
      <c r="H37" s="15">
        <f t="shared" si="17"/>
        <v>5350</v>
      </c>
      <c r="I37" s="15">
        <v>0</v>
      </c>
      <c r="J37" s="15">
        <v>588.20000000000005</v>
      </c>
      <c r="K37" s="15">
        <f t="shared" si="18"/>
        <v>588.20000000000005</v>
      </c>
      <c r="L37" s="15">
        <v>0</v>
      </c>
      <c r="M37" s="15">
        <v>0</v>
      </c>
      <c r="N37" s="15">
        <f t="shared" si="14"/>
        <v>561.75</v>
      </c>
      <c r="O37" s="15">
        <f t="shared" si="19"/>
        <v>1149.95</v>
      </c>
      <c r="P37" s="18">
        <f t="shared" si="15"/>
        <v>4200.05</v>
      </c>
      <c r="Q37" s="10">
        <v>510.86</v>
      </c>
      <c r="R37" s="10">
        <v>882.75</v>
      </c>
      <c r="S37" s="35">
        <f t="shared" si="16"/>
        <v>1393.6100000000001</v>
      </c>
    </row>
    <row r="38" spans="1:19" x14ac:dyDescent="0.25">
      <c r="B38" t="s">
        <v>128</v>
      </c>
      <c r="C38" t="s">
        <v>101</v>
      </c>
      <c r="D38" t="s">
        <v>81</v>
      </c>
      <c r="E38" s="15">
        <v>5350</v>
      </c>
      <c r="F38" s="29">
        <v>15</v>
      </c>
      <c r="G38" s="15">
        <v>0</v>
      </c>
      <c r="H38" s="15">
        <f t="shared" si="17"/>
        <v>5350</v>
      </c>
      <c r="I38" s="15">
        <v>0</v>
      </c>
      <c r="J38" s="15">
        <v>588.20000000000005</v>
      </c>
      <c r="K38" s="15">
        <f t="shared" si="18"/>
        <v>588.20000000000005</v>
      </c>
      <c r="L38" s="15">
        <v>0</v>
      </c>
      <c r="M38" s="15">
        <v>0</v>
      </c>
      <c r="N38" s="15">
        <f t="shared" si="14"/>
        <v>561.75</v>
      </c>
      <c r="O38" s="15">
        <f t="shared" si="19"/>
        <v>1149.95</v>
      </c>
      <c r="P38" s="18">
        <f t="shared" si="15"/>
        <v>4200.05</v>
      </c>
      <c r="Q38" s="10">
        <v>510.86</v>
      </c>
      <c r="R38" s="10">
        <v>882.75</v>
      </c>
      <c r="S38" s="35">
        <f t="shared" si="16"/>
        <v>1393.6100000000001</v>
      </c>
    </row>
    <row r="39" spans="1:19" x14ac:dyDescent="0.25">
      <c r="B39" t="s">
        <v>129</v>
      </c>
      <c r="C39" t="s">
        <v>95</v>
      </c>
      <c r="D39" t="s">
        <v>82</v>
      </c>
      <c r="E39" s="15">
        <v>5350</v>
      </c>
      <c r="F39" s="29">
        <v>15</v>
      </c>
      <c r="G39" s="15">
        <v>0</v>
      </c>
      <c r="H39" s="15">
        <f t="shared" si="17"/>
        <v>5350</v>
      </c>
      <c r="I39" s="15">
        <v>0</v>
      </c>
      <c r="J39" s="15">
        <v>588.20000000000005</v>
      </c>
      <c r="K39" s="15">
        <f t="shared" si="18"/>
        <v>588.20000000000005</v>
      </c>
      <c r="L39" s="15">
        <v>0</v>
      </c>
      <c r="M39" s="15">
        <v>0</v>
      </c>
      <c r="N39" s="15">
        <f t="shared" si="14"/>
        <v>561.75</v>
      </c>
      <c r="O39" s="15">
        <f t="shared" si="19"/>
        <v>1149.95</v>
      </c>
      <c r="P39" s="18">
        <f t="shared" si="15"/>
        <v>4200.05</v>
      </c>
      <c r="Q39" s="10">
        <v>510.86</v>
      </c>
      <c r="R39" s="10">
        <v>882.75</v>
      </c>
      <c r="S39" s="35">
        <f t="shared" si="16"/>
        <v>1393.6100000000001</v>
      </c>
    </row>
    <row r="40" spans="1:19" x14ac:dyDescent="0.25">
      <c r="B40" t="s">
        <v>130</v>
      </c>
      <c r="C40" t="s">
        <v>102</v>
      </c>
      <c r="D40" t="s">
        <v>82</v>
      </c>
      <c r="E40" s="15">
        <v>5350</v>
      </c>
      <c r="F40" s="29">
        <v>15</v>
      </c>
      <c r="G40" s="15">
        <v>0</v>
      </c>
      <c r="H40" s="15">
        <f t="shared" si="17"/>
        <v>5350</v>
      </c>
      <c r="I40" s="15">
        <v>0</v>
      </c>
      <c r="J40" s="15">
        <v>588.20000000000005</v>
      </c>
      <c r="K40" s="15">
        <f t="shared" si="18"/>
        <v>588.20000000000005</v>
      </c>
      <c r="L40" s="15">
        <v>0</v>
      </c>
      <c r="M40" s="15">
        <v>0</v>
      </c>
      <c r="N40" s="15">
        <f t="shared" si="14"/>
        <v>561.75</v>
      </c>
      <c r="O40" s="15">
        <f t="shared" si="19"/>
        <v>1149.95</v>
      </c>
      <c r="P40" s="18">
        <f t="shared" si="15"/>
        <v>4200.05</v>
      </c>
      <c r="Q40" s="10">
        <v>510.86</v>
      </c>
      <c r="R40" s="10">
        <v>882.75</v>
      </c>
      <c r="S40" s="35">
        <f t="shared" si="16"/>
        <v>1393.6100000000001</v>
      </c>
    </row>
    <row r="41" spans="1:19" x14ac:dyDescent="0.25">
      <c r="B41" t="s">
        <v>131</v>
      </c>
      <c r="C41" t="s">
        <v>85</v>
      </c>
      <c r="D41" t="s">
        <v>83</v>
      </c>
      <c r="E41" s="15">
        <v>5350</v>
      </c>
      <c r="F41" s="29">
        <v>15</v>
      </c>
      <c r="G41" s="15">
        <v>0</v>
      </c>
      <c r="H41" s="15">
        <f t="shared" si="17"/>
        <v>5350</v>
      </c>
      <c r="I41" s="15">
        <v>0</v>
      </c>
      <c r="J41" s="15">
        <v>588.20000000000005</v>
      </c>
      <c r="K41" s="15">
        <f t="shared" si="18"/>
        <v>588.20000000000005</v>
      </c>
      <c r="L41" s="15">
        <v>0</v>
      </c>
      <c r="M41" s="15">
        <v>0</v>
      </c>
      <c r="N41" s="15">
        <f t="shared" si="14"/>
        <v>561.75</v>
      </c>
      <c r="O41" s="15">
        <f t="shared" si="19"/>
        <v>1149.95</v>
      </c>
      <c r="P41" s="18">
        <f t="shared" si="15"/>
        <v>4200.05</v>
      </c>
      <c r="Q41" s="10">
        <v>510.86</v>
      </c>
      <c r="R41" s="10">
        <v>882.75</v>
      </c>
      <c r="S41" s="35">
        <f t="shared" si="16"/>
        <v>1393.6100000000001</v>
      </c>
    </row>
    <row r="42" spans="1:19" x14ac:dyDescent="0.25">
      <c r="B42" t="s">
        <v>132</v>
      </c>
      <c r="C42" t="s">
        <v>103</v>
      </c>
      <c r="D42" t="s">
        <v>83</v>
      </c>
      <c r="E42" s="15">
        <v>5350</v>
      </c>
      <c r="F42" s="29">
        <v>15</v>
      </c>
      <c r="G42" s="15">
        <v>0</v>
      </c>
      <c r="H42" s="15">
        <f t="shared" si="17"/>
        <v>5350</v>
      </c>
      <c r="I42" s="15">
        <v>0</v>
      </c>
      <c r="J42" s="15">
        <v>588.20000000000005</v>
      </c>
      <c r="K42" s="15">
        <f t="shared" si="18"/>
        <v>588.20000000000005</v>
      </c>
      <c r="L42" s="15">
        <v>0</v>
      </c>
      <c r="M42" s="15">
        <v>0</v>
      </c>
      <c r="N42" s="15">
        <f t="shared" si="14"/>
        <v>561.75</v>
      </c>
      <c r="O42" s="15">
        <f t="shared" si="19"/>
        <v>1149.95</v>
      </c>
      <c r="P42" s="18">
        <f t="shared" si="15"/>
        <v>4200.05</v>
      </c>
      <c r="Q42" s="10">
        <v>510.86</v>
      </c>
      <c r="R42" s="10">
        <v>882.75</v>
      </c>
      <c r="S42" s="35">
        <f t="shared" si="16"/>
        <v>1393.6100000000001</v>
      </c>
    </row>
    <row r="43" spans="1:19" x14ac:dyDescent="0.25">
      <c r="A43" t="s">
        <v>138</v>
      </c>
      <c r="B43" s="2" t="s">
        <v>26</v>
      </c>
      <c r="E43" s="34">
        <f>SUM(E32:E42)</f>
        <v>58850</v>
      </c>
      <c r="F43" s="34"/>
      <c r="G43" s="34">
        <f>SUM(G32:G42)</f>
        <v>0</v>
      </c>
      <c r="H43" s="34">
        <f>SUM(H32:H42)</f>
        <v>58850</v>
      </c>
      <c r="I43" s="34">
        <f t="shared" ref="I43:S43" si="20">SUM(I32:I42)</f>
        <v>0</v>
      </c>
      <c r="J43" s="34">
        <f t="shared" si="20"/>
        <v>6470.1999999999989</v>
      </c>
      <c r="K43" s="34">
        <f t="shared" si="20"/>
        <v>6470.1999999999989</v>
      </c>
      <c r="L43" s="34">
        <f t="shared" si="20"/>
        <v>0</v>
      </c>
      <c r="M43" s="34">
        <f t="shared" si="20"/>
        <v>0</v>
      </c>
      <c r="N43" s="34">
        <f t="shared" si="20"/>
        <v>6179.25</v>
      </c>
      <c r="O43" s="34">
        <f t="shared" si="20"/>
        <v>12649.450000000003</v>
      </c>
      <c r="P43" s="34">
        <f t="shared" si="20"/>
        <v>46200.55000000001</v>
      </c>
      <c r="Q43" s="34">
        <f t="shared" si="20"/>
        <v>5619.46</v>
      </c>
      <c r="R43" s="34">
        <f t="shared" si="20"/>
        <v>9710.25</v>
      </c>
      <c r="S43" s="34">
        <f t="shared" si="20"/>
        <v>15329.710000000005</v>
      </c>
    </row>
    <row r="44" spans="1:19" x14ac:dyDescent="0.25"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9" x14ac:dyDescent="0.25">
      <c r="B45" s="2" t="s">
        <v>140</v>
      </c>
      <c r="C45" s="2" t="s">
        <v>64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9" x14ac:dyDescent="0.25">
      <c r="B46" t="s">
        <v>133</v>
      </c>
      <c r="C46" t="s">
        <v>99</v>
      </c>
      <c r="D46" t="s">
        <v>80</v>
      </c>
      <c r="E46" s="15">
        <v>5350</v>
      </c>
      <c r="F46" s="29">
        <v>15</v>
      </c>
      <c r="G46" s="15">
        <v>0</v>
      </c>
      <c r="H46" s="15">
        <f>E46+G46</f>
        <v>5350</v>
      </c>
      <c r="I46" s="15">
        <v>0</v>
      </c>
      <c r="J46" s="15">
        <v>588.20000000000005</v>
      </c>
      <c r="K46" s="15">
        <f>J46-I46</f>
        <v>588.20000000000005</v>
      </c>
      <c r="L46" s="15">
        <v>0</v>
      </c>
      <c r="M46" s="15">
        <v>0</v>
      </c>
      <c r="N46" s="15">
        <f>E46*0.105</f>
        <v>561.75</v>
      </c>
      <c r="O46" s="15">
        <f>SUM(K46:N46)</f>
        <v>1149.95</v>
      </c>
      <c r="P46" s="18">
        <f>H46-O46</f>
        <v>4200.05</v>
      </c>
      <c r="Q46" s="10">
        <v>510.86</v>
      </c>
      <c r="R46" s="10">
        <v>882.75</v>
      </c>
      <c r="S46" s="35">
        <f t="shared" ref="S46" si="21">Q46+R46</f>
        <v>1393.6100000000001</v>
      </c>
    </row>
    <row r="47" spans="1:19" x14ac:dyDescent="0.25">
      <c r="A47" t="s">
        <v>139</v>
      </c>
      <c r="B47" s="2" t="s">
        <v>26</v>
      </c>
      <c r="E47" s="34">
        <f>E46</f>
        <v>5350</v>
      </c>
      <c r="F47" s="34"/>
      <c r="G47" s="34">
        <f>G46</f>
        <v>0</v>
      </c>
      <c r="H47" s="34">
        <f>H46</f>
        <v>5350</v>
      </c>
      <c r="I47" s="34">
        <f t="shared" ref="I47:S47" si="22">I46</f>
        <v>0</v>
      </c>
      <c r="J47" s="34">
        <f t="shared" si="22"/>
        <v>588.20000000000005</v>
      </c>
      <c r="K47" s="34">
        <f t="shared" si="22"/>
        <v>588.20000000000005</v>
      </c>
      <c r="L47" s="34">
        <f t="shared" si="22"/>
        <v>0</v>
      </c>
      <c r="M47" s="34">
        <f t="shared" si="22"/>
        <v>0</v>
      </c>
      <c r="N47" s="34">
        <f t="shared" si="22"/>
        <v>561.75</v>
      </c>
      <c r="O47" s="34">
        <f t="shared" si="22"/>
        <v>1149.95</v>
      </c>
      <c r="P47" s="34">
        <f t="shared" si="22"/>
        <v>4200.05</v>
      </c>
      <c r="Q47" s="34">
        <f t="shared" si="22"/>
        <v>510.86</v>
      </c>
      <c r="R47" s="34">
        <f t="shared" si="22"/>
        <v>882.75</v>
      </c>
      <c r="S47" s="34">
        <f t="shared" si="22"/>
        <v>1393.6100000000001</v>
      </c>
    </row>
    <row r="48" spans="1:19" x14ac:dyDescent="0.25">
      <c r="B48" s="2"/>
      <c r="E48" s="15"/>
      <c r="F48" s="15"/>
      <c r="G48" s="15"/>
      <c r="H48" s="16"/>
      <c r="I48" s="16"/>
      <c r="J48" s="16"/>
      <c r="K48" s="16"/>
      <c r="L48" s="16"/>
      <c r="M48" s="16"/>
      <c r="N48" s="16"/>
      <c r="O48" s="16"/>
      <c r="P48" s="16"/>
      <c r="Q48" s="8"/>
      <c r="R48" s="8"/>
      <c r="S48" s="8"/>
    </row>
    <row r="49" spans="4:19" x14ac:dyDescent="0.25"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4:19" ht="18.75" x14ac:dyDescent="0.3">
      <c r="D50" s="4" t="s">
        <v>105</v>
      </c>
      <c r="E50" s="17">
        <f>E8+E19+E24+E29+E43+E47+E48</f>
        <v>152891.95000000001</v>
      </c>
      <c r="F50" s="17">
        <f t="shared" ref="F50:S50" si="23">F8+F19+F24+F29+F43+F47+F48</f>
        <v>0</v>
      </c>
      <c r="G50" s="17">
        <f t="shared" si="23"/>
        <v>0</v>
      </c>
      <c r="H50" s="17">
        <f t="shared" si="23"/>
        <v>152891.95000000001</v>
      </c>
      <c r="I50" s="17">
        <f t="shared" si="23"/>
        <v>274.08999999999997</v>
      </c>
      <c r="J50" s="17">
        <f t="shared" si="23"/>
        <v>18776.82</v>
      </c>
      <c r="K50" s="17">
        <f t="shared" si="23"/>
        <v>18502.73</v>
      </c>
      <c r="L50" s="17">
        <f t="shared" si="23"/>
        <v>0</v>
      </c>
      <c r="M50" s="17">
        <f t="shared" si="23"/>
        <v>0</v>
      </c>
      <c r="N50" s="17">
        <f t="shared" si="23"/>
        <v>16053.65475</v>
      </c>
      <c r="O50" s="17">
        <f t="shared" si="23"/>
        <v>34556.384750000005</v>
      </c>
      <c r="P50" s="17">
        <f t="shared" si="23"/>
        <v>118335.56525000003</v>
      </c>
      <c r="Q50" s="17">
        <f t="shared" si="23"/>
        <v>14204.14</v>
      </c>
      <c r="R50" s="17">
        <f t="shared" si="23"/>
        <v>25427.309999999998</v>
      </c>
      <c r="S50" s="17">
        <f t="shared" si="23"/>
        <v>39631.450000000004</v>
      </c>
    </row>
    <row r="53" spans="4:19" ht="15.75" thickBot="1" x14ac:dyDescent="0.3">
      <c r="E53" s="375"/>
      <c r="F53" s="375"/>
      <c r="G53" s="375"/>
      <c r="J53" s="375"/>
      <c r="K53" s="375"/>
      <c r="L53" s="375"/>
    </row>
    <row r="54" spans="4:19" x14ac:dyDescent="0.25">
      <c r="E54" s="377" t="s">
        <v>146</v>
      </c>
      <c r="F54" s="377"/>
      <c r="G54" s="377"/>
      <c r="J54" s="378" t="s">
        <v>145</v>
      </c>
      <c r="K54" s="378"/>
      <c r="L54" s="378"/>
    </row>
    <row r="55" spans="4:19" ht="15.75" x14ac:dyDescent="0.3">
      <c r="E55" s="379" t="s">
        <v>144</v>
      </c>
      <c r="F55" s="379"/>
      <c r="G55" s="377"/>
      <c r="J55" s="379" t="s">
        <v>145</v>
      </c>
      <c r="K55" s="379"/>
      <c r="L55" s="379"/>
    </row>
  </sheetData>
  <mergeCells count="8">
    <mergeCell ref="E55:G55"/>
    <mergeCell ref="J55:L55"/>
    <mergeCell ref="C1:D1"/>
    <mergeCell ref="E2:S2"/>
    <mergeCell ref="E53:G53"/>
    <mergeCell ref="J53:L53"/>
    <mergeCell ref="E54:G54"/>
    <mergeCell ref="J54:L54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59"/>
  <sheetViews>
    <sheetView workbookViewId="0">
      <pane xSplit="4" ySplit="4" topLeftCell="L20" activePane="bottomRight" state="frozen"/>
      <selection pane="topRight" activeCell="E1" sqref="E1"/>
      <selection pane="bottomLeft" activeCell="A4" sqref="A4"/>
      <selection pane="bottomRight" activeCell="P51" sqref="P51"/>
    </sheetView>
  </sheetViews>
  <sheetFormatPr baseColWidth="10" defaultRowHeight="15" x14ac:dyDescent="0.25"/>
  <cols>
    <col min="2" max="2" width="16.5703125" customWidth="1"/>
    <col min="3" max="3" width="34.140625" customWidth="1"/>
    <col min="4" max="4" width="29.85546875" customWidth="1"/>
    <col min="5" max="5" width="18.42578125" customWidth="1"/>
    <col min="6" max="7" width="11.42578125" customWidth="1"/>
    <col min="8" max="8" width="21" customWidth="1"/>
    <col min="9" max="9" width="11.42578125" customWidth="1"/>
    <col min="10" max="10" width="14.5703125" customWidth="1"/>
    <col min="11" max="11" width="13.42578125" customWidth="1"/>
    <col min="12" max="13" width="11.42578125" customWidth="1"/>
    <col min="14" max="14" width="14" customWidth="1"/>
    <col min="15" max="15" width="18.5703125" customWidth="1"/>
    <col min="16" max="16" width="16.85546875" customWidth="1"/>
    <col min="17" max="17" width="14" customWidth="1"/>
    <col min="18" max="18" width="15.7109375" customWidth="1"/>
    <col min="19" max="19" width="17" customWidth="1"/>
  </cols>
  <sheetData>
    <row r="2" spans="2:19" ht="18.75" x14ac:dyDescent="0.25">
      <c r="C2" s="372" t="s">
        <v>153</v>
      </c>
      <c r="D2" s="372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2:19" ht="15.75" thickBot="1" x14ac:dyDescent="0.3">
      <c r="E3" s="367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9"/>
    </row>
    <row r="4" spans="2:19" ht="36" thickTop="1" thickBot="1" x14ac:dyDescent="0.3">
      <c r="B4" s="31" t="s">
        <v>9</v>
      </c>
      <c r="C4" s="32" t="s">
        <v>10</v>
      </c>
      <c r="D4" s="32" t="s">
        <v>0</v>
      </c>
      <c r="E4" s="39" t="s">
        <v>11</v>
      </c>
      <c r="F4" s="39" t="s">
        <v>150</v>
      </c>
      <c r="G4" s="40" t="s">
        <v>113</v>
      </c>
      <c r="H4" s="39" t="s">
        <v>12</v>
      </c>
      <c r="I4" s="39" t="s">
        <v>107</v>
      </c>
      <c r="J4" s="39" t="s">
        <v>143</v>
      </c>
      <c r="K4" s="39" t="s">
        <v>13</v>
      </c>
      <c r="L4" s="39" t="s">
        <v>15</v>
      </c>
      <c r="M4" s="39" t="s">
        <v>106</v>
      </c>
      <c r="N4" s="39" t="s">
        <v>16</v>
      </c>
      <c r="O4" s="39" t="s">
        <v>17</v>
      </c>
      <c r="P4" s="39" t="s">
        <v>72</v>
      </c>
      <c r="Q4" s="32" t="s">
        <v>8</v>
      </c>
      <c r="R4" s="32" t="s">
        <v>18</v>
      </c>
      <c r="S4" s="41" t="s">
        <v>73</v>
      </c>
    </row>
    <row r="5" spans="2:19" ht="15.75" thickTop="1" x14ac:dyDescent="0.25">
      <c r="B5" s="2" t="s">
        <v>19</v>
      </c>
      <c r="C5" s="2" t="s">
        <v>20</v>
      </c>
      <c r="D5" s="2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2:19" x14ac:dyDescent="0.25">
      <c r="B6" t="s">
        <v>21</v>
      </c>
      <c r="C6" s="11" t="s">
        <v>22</v>
      </c>
      <c r="D6" t="s">
        <v>25</v>
      </c>
      <c r="E6" s="15">
        <v>16954.95</v>
      </c>
      <c r="F6" s="29">
        <v>15</v>
      </c>
      <c r="G6" s="15">
        <v>0</v>
      </c>
      <c r="H6" s="15">
        <f>E6+G6</f>
        <v>16954.95</v>
      </c>
      <c r="I6" s="15">
        <v>0</v>
      </c>
      <c r="J6" s="15">
        <v>3246.93</v>
      </c>
      <c r="K6" s="15">
        <f>J6-I6</f>
        <v>3246.93</v>
      </c>
      <c r="L6" s="15">
        <v>0</v>
      </c>
      <c r="M6" s="15">
        <v>0</v>
      </c>
      <c r="N6" s="15">
        <f>E6*0.115</f>
        <v>1949.8192500000002</v>
      </c>
      <c r="O6" s="15">
        <f>SUM(K6:N6)</f>
        <v>5196.7492499999998</v>
      </c>
      <c r="P6" s="18">
        <f>H6-O6</f>
        <v>11758.20075</v>
      </c>
      <c r="Q6" s="10">
        <v>328.67</v>
      </c>
      <c r="R6" s="10">
        <v>3390.99</v>
      </c>
      <c r="S6" s="35">
        <f>SUM(Q6:R6)</f>
        <v>3719.66</v>
      </c>
    </row>
    <row r="7" spans="2:19" x14ac:dyDescent="0.25">
      <c r="B7" t="s">
        <v>23</v>
      </c>
      <c r="C7" s="11" t="s">
        <v>24</v>
      </c>
      <c r="D7" t="s">
        <v>3</v>
      </c>
      <c r="E7" s="15">
        <v>4850</v>
      </c>
      <c r="F7" s="29">
        <v>15</v>
      </c>
      <c r="G7" s="15">
        <v>0</v>
      </c>
      <c r="H7" s="15">
        <f t="shared" ref="H7" si="0">E7+G7</f>
        <v>4850</v>
      </c>
      <c r="I7" s="15">
        <v>0</v>
      </c>
      <c r="J7" s="15">
        <v>491.69</v>
      </c>
      <c r="K7" s="15">
        <f t="shared" ref="K7:K8" si="1">J7-I7</f>
        <v>491.69</v>
      </c>
      <c r="L7" s="15">
        <v>0</v>
      </c>
      <c r="M7" s="15">
        <v>0</v>
      </c>
      <c r="N7" s="15">
        <f>E7*0.115</f>
        <v>557.75</v>
      </c>
      <c r="O7" s="15">
        <f t="shared" ref="O7:O8" si="2">SUM(K7:N7)</f>
        <v>1049.44</v>
      </c>
      <c r="P7" s="18">
        <f>H7-O7</f>
        <v>3800.56</v>
      </c>
      <c r="Q7" s="10">
        <v>253.58</v>
      </c>
      <c r="R7" s="10">
        <v>970</v>
      </c>
      <c r="S7" s="35">
        <f t="shared" ref="S7:S8" si="3">SUM(Q7:R7)</f>
        <v>1223.58</v>
      </c>
    </row>
    <row r="8" spans="2:19" x14ac:dyDescent="0.25">
      <c r="B8" t="s">
        <v>41</v>
      </c>
      <c r="C8" s="11" t="s">
        <v>42</v>
      </c>
      <c r="D8" t="s">
        <v>2</v>
      </c>
      <c r="E8" s="15">
        <v>10000</v>
      </c>
      <c r="F8" s="29">
        <v>15</v>
      </c>
      <c r="G8" s="15">
        <v>0</v>
      </c>
      <c r="H8" s="15">
        <v>10000</v>
      </c>
      <c r="I8" s="15">
        <v>0</v>
      </c>
      <c r="J8" s="15">
        <v>1581.44</v>
      </c>
      <c r="K8" s="15">
        <f t="shared" si="1"/>
        <v>1581.44</v>
      </c>
      <c r="L8" s="15">
        <v>0</v>
      </c>
      <c r="M8" s="15">
        <v>0</v>
      </c>
      <c r="N8" s="15">
        <v>1150</v>
      </c>
      <c r="O8" s="15">
        <f t="shared" si="2"/>
        <v>2731.44</v>
      </c>
      <c r="P8" s="18">
        <f>H8-O8</f>
        <v>7268.5599999999995</v>
      </c>
      <c r="Q8" s="10">
        <v>285.52999999999997</v>
      </c>
      <c r="R8" s="10">
        <v>2000</v>
      </c>
      <c r="S8" s="35">
        <f t="shared" si="3"/>
        <v>2285.5299999999997</v>
      </c>
    </row>
    <row r="9" spans="2:19" s="30" customFormat="1" x14ac:dyDescent="0.25">
      <c r="B9" s="7" t="s">
        <v>26</v>
      </c>
      <c r="E9" s="34">
        <f>SUM(E6:E8)</f>
        <v>31804.95</v>
      </c>
      <c r="F9" s="34">
        <v>0</v>
      </c>
      <c r="G9" s="34">
        <f t="shared" ref="G9:S9" si="4">SUM(G6:G8)</f>
        <v>0</v>
      </c>
      <c r="H9" s="34">
        <f t="shared" si="4"/>
        <v>31804.95</v>
      </c>
      <c r="I9" s="34">
        <f t="shared" si="4"/>
        <v>0</v>
      </c>
      <c r="J9" s="34">
        <f t="shared" si="4"/>
        <v>5320.0599999999995</v>
      </c>
      <c r="K9" s="34">
        <f t="shared" si="4"/>
        <v>5320.0599999999995</v>
      </c>
      <c r="L9" s="34">
        <f t="shared" si="4"/>
        <v>0</v>
      </c>
      <c r="M9" s="34">
        <f t="shared" si="4"/>
        <v>0</v>
      </c>
      <c r="N9" s="34">
        <f t="shared" si="4"/>
        <v>3657.5692500000005</v>
      </c>
      <c r="O9" s="34">
        <f t="shared" si="4"/>
        <v>8977.62925</v>
      </c>
      <c r="P9" s="34">
        <f t="shared" si="4"/>
        <v>22827.320749999999</v>
      </c>
      <c r="Q9" s="34">
        <f t="shared" si="4"/>
        <v>867.78</v>
      </c>
      <c r="R9" s="34">
        <f t="shared" si="4"/>
        <v>6360.99</v>
      </c>
      <c r="S9" s="34">
        <f t="shared" si="4"/>
        <v>7228.7699999999995</v>
      </c>
    </row>
    <row r="10" spans="2:19" x14ac:dyDescent="0.25"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2:19" x14ac:dyDescent="0.25">
      <c r="B11" s="2" t="s">
        <v>27</v>
      </c>
      <c r="C11" s="2" t="s">
        <v>28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2:19" x14ac:dyDescent="0.25">
      <c r="B12" t="s">
        <v>32</v>
      </c>
      <c r="C12" s="11" t="s">
        <v>37</v>
      </c>
      <c r="D12" t="s">
        <v>1</v>
      </c>
      <c r="E12" s="15">
        <v>10000</v>
      </c>
      <c r="F12" s="29">
        <v>15</v>
      </c>
      <c r="G12" s="15">
        <v>0</v>
      </c>
      <c r="H12" s="15">
        <f>E12+G12</f>
        <v>10000</v>
      </c>
      <c r="I12" s="15">
        <v>0</v>
      </c>
      <c r="J12" s="15">
        <v>1581.44</v>
      </c>
      <c r="K12" s="15">
        <f>J12-I12</f>
        <v>1581.44</v>
      </c>
      <c r="L12" s="15">
        <v>0</v>
      </c>
      <c r="M12" s="15">
        <v>0</v>
      </c>
      <c r="N12" s="15">
        <f>E12*0.115</f>
        <v>1150</v>
      </c>
      <c r="O12" s="15">
        <f t="shared" ref="O12:O17" si="5">SUM(K12:N12)</f>
        <v>2731.44</v>
      </c>
      <c r="P12" s="18">
        <f t="shared" ref="P12:P19" si="6">H12-O12</f>
        <v>7268.5599999999995</v>
      </c>
      <c r="Q12" s="10">
        <v>285.52999999999997</v>
      </c>
      <c r="R12" s="10">
        <v>2000</v>
      </c>
      <c r="S12" s="35">
        <f>Q12+R12</f>
        <v>2285.5299999999997</v>
      </c>
    </row>
    <row r="13" spans="2:19" x14ac:dyDescent="0.25">
      <c r="B13" t="s">
        <v>33</v>
      </c>
      <c r="C13" s="11" t="s">
        <v>38</v>
      </c>
      <c r="D13" t="s">
        <v>74</v>
      </c>
      <c r="E13" s="15">
        <v>5350</v>
      </c>
      <c r="F13" s="29">
        <v>15</v>
      </c>
      <c r="G13" s="19">
        <v>0</v>
      </c>
      <c r="H13" s="15">
        <f t="shared" ref="H13:H19" si="7">E13+G13</f>
        <v>5350</v>
      </c>
      <c r="I13" s="15">
        <v>0</v>
      </c>
      <c r="J13" s="15">
        <v>588.20000000000005</v>
      </c>
      <c r="K13" s="15">
        <f t="shared" ref="K13:K19" si="8">J13-I13</f>
        <v>588.20000000000005</v>
      </c>
      <c r="L13" s="15">
        <v>0</v>
      </c>
      <c r="M13" s="15">
        <v>0</v>
      </c>
      <c r="N13" s="15">
        <f t="shared" ref="N13:N19" si="9">E13*0.115</f>
        <v>615.25</v>
      </c>
      <c r="O13" s="15">
        <f t="shared" si="5"/>
        <v>1203.45</v>
      </c>
      <c r="P13" s="18">
        <f t="shared" si="6"/>
        <v>4146.55</v>
      </c>
      <c r="Q13" s="10">
        <v>256.68</v>
      </c>
      <c r="R13" s="10">
        <v>1070</v>
      </c>
      <c r="S13" s="35">
        <f>Q13+R13</f>
        <v>1326.68</v>
      </c>
    </row>
    <row r="14" spans="2:19" x14ac:dyDescent="0.25">
      <c r="B14" t="s">
        <v>34</v>
      </c>
      <c r="C14" t="s">
        <v>141</v>
      </c>
      <c r="D14" t="s">
        <v>75</v>
      </c>
      <c r="E14" s="21">
        <v>5350</v>
      </c>
      <c r="F14" s="29">
        <v>15</v>
      </c>
      <c r="G14" s="3">
        <v>0</v>
      </c>
      <c r="H14" s="15">
        <f t="shared" si="7"/>
        <v>5350</v>
      </c>
      <c r="I14" s="3">
        <v>0</v>
      </c>
      <c r="J14" s="3">
        <v>588.20000000000005</v>
      </c>
      <c r="K14" s="15">
        <f t="shared" si="8"/>
        <v>588.20000000000005</v>
      </c>
      <c r="L14" s="3">
        <v>0</v>
      </c>
      <c r="M14" s="3">
        <v>0</v>
      </c>
      <c r="N14" s="15">
        <f t="shared" si="9"/>
        <v>615.25</v>
      </c>
      <c r="O14" s="15">
        <f t="shared" si="5"/>
        <v>1203.45</v>
      </c>
      <c r="P14" s="18">
        <f t="shared" si="6"/>
        <v>4146.55</v>
      </c>
      <c r="Q14" s="27">
        <v>256.68</v>
      </c>
      <c r="R14" s="10">
        <v>1070</v>
      </c>
      <c r="S14" s="35">
        <f>Q14+R14</f>
        <v>1326.68</v>
      </c>
    </row>
    <row r="15" spans="2:19" x14ac:dyDescent="0.25">
      <c r="B15" t="s">
        <v>35</v>
      </c>
      <c r="C15" t="s">
        <v>111</v>
      </c>
      <c r="D15" t="s">
        <v>77</v>
      </c>
      <c r="E15" s="15">
        <v>6000</v>
      </c>
      <c r="F15" s="29">
        <v>15</v>
      </c>
      <c r="G15" s="15">
        <v>0</v>
      </c>
      <c r="H15" s="15">
        <f t="shared" si="7"/>
        <v>6000</v>
      </c>
      <c r="I15" s="15">
        <v>0</v>
      </c>
      <c r="J15" s="15">
        <v>727.04</v>
      </c>
      <c r="K15" s="15">
        <f t="shared" si="8"/>
        <v>727.04</v>
      </c>
      <c r="L15" s="15">
        <v>0</v>
      </c>
      <c r="M15" s="15">
        <v>0</v>
      </c>
      <c r="N15" s="15">
        <f t="shared" si="9"/>
        <v>690</v>
      </c>
      <c r="O15" s="15">
        <f t="shared" si="5"/>
        <v>1417.04</v>
      </c>
      <c r="P15" s="18">
        <f t="shared" si="6"/>
        <v>4582.96</v>
      </c>
      <c r="Q15" s="10">
        <v>260.72000000000003</v>
      </c>
      <c r="R15" s="10">
        <v>1200</v>
      </c>
      <c r="S15" s="35">
        <f>Q15+R15</f>
        <v>1460.72</v>
      </c>
    </row>
    <row r="16" spans="2:19" x14ac:dyDescent="0.25">
      <c r="B16" t="s">
        <v>36</v>
      </c>
      <c r="C16" t="s">
        <v>86</v>
      </c>
      <c r="D16" t="s">
        <v>39</v>
      </c>
      <c r="E16" s="15">
        <v>4500</v>
      </c>
      <c r="F16" s="29">
        <v>15</v>
      </c>
      <c r="G16" s="15">
        <v>0</v>
      </c>
      <c r="H16" s="15">
        <f t="shared" si="7"/>
        <v>4500</v>
      </c>
      <c r="I16" s="15">
        <v>0</v>
      </c>
      <c r="J16" s="15">
        <v>428.97</v>
      </c>
      <c r="K16" s="15">
        <f t="shared" si="8"/>
        <v>428.97</v>
      </c>
      <c r="L16" s="15">
        <v>0</v>
      </c>
      <c r="M16" s="15">
        <v>0</v>
      </c>
      <c r="N16" s="15">
        <f t="shared" si="9"/>
        <v>517.5</v>
      </c>
      <c r="O16" s="15">
        <f t="shared" si="5"/>
        <v>946.47</v>
      </c>
      <c r="P16" s="18">
        <f t="shared" si="6"/>
        <v>3553.5299999999997</v>
      </c>
      <c r="Q16" s="10">
        <v>251.41</v>
      </c>
      <c r="R16" s="10">
        <v>900</v>
      </c>
      <c r="S16" s="35">
        <f>Q16+R16</f>
        <v>1151.4100000000001</v>
      </c>
    </row>
    <row r="17" spans="2:19" x14ac:dyDescent="0.25">
      <c r="B17" t="s">
        <v>115</v>
      </c>
      <c r="C17" t="s">
        <v>87</v>
      </c>
      <c r="D17" t="s">
        <v>39</v>
      </c>
      <c r="E17" s="15">
        <v>4500</v>
      </c>
      <c r="F17" s="29">
        <v>15</v>
      </c>
      <c r="G17" s="15">
        <v>0</v>
      </c>
      <c r="H17" s="15">
        <f t="shared" si="7"/>
        <v>4500</v>
      </c>
      <c r="I17" s="15">
        <v>0</v>
      </c>
      <c r="J17" s="15">
        <v>428.97</v>
      </c>
      <c r="K17" s="15">
        <f t="shared" si="8"/>
        <v>428.97</v>
      </c>
      <c r="L17" s="15">
        <v>0</v>
      </c>
      <c r="M17" s="15">
        <v>0</v>
      </c>
      <c r="N17" s="15">
        <f t="shared" si="9"/>
        <v>517.5</v>
      </c>
      <c r="O17" s="15">
        <f t="shared" si="5"/>
        <v>946.47</v>
      </c>
      <c r="P17" s="18">
        <f t="shared" si="6"/>
        <v>3553.5299999999997</v>
      </c>
      <c r="Q17" s="10">
        <v>251.41</v>
      </c>
      <c r="R17" s="10">
        <v>900</v>
      </c>
      <c r="S17" s="35">
        <f t="shared" ref="S17:S19" si="10">Q17+R17</f>
        <v>1151.4100000000001</v>
      </c>
    </row>
    <row r="18" spans="2:19" x14ac:dyDescent="0.25">
      <c r="B18" t="s">
        <v>116</v>
      </c>
      <c r="C18" t="s">
        <v>89</v>
      </c>
      <c r="D18" t="s">
        <v>4</v>
      </c>
      <c r="E18" s="15">
        <v>2700</v>
      </c>
      <c r="F18" s="29">
        <v>15</v>
      </c>
      <c r="G18" s="15">
        <v>0</v>
      </c>
      <c r="H18" s="15">
        <f t="shared" si="7"/>
        <v>2700</v>
      </c>
      <c r="I18" s="15">
        <v>147.32</v>
      </c>
      <c r="J18" s="15">
        <v>188.33</v>
      </c>
      <c r="K18" s="15">
        <f t="shared" si="8"/>
        <v>41.010000000000019</v>
      </c>
      <c r="L18" s="15">
        <v>0</v>
      </c>
      <c r="M18" s="15">
        <v>0</v>
      </c>
      <c r="N18" s="15">
        <f t="shared" si="9"/>
        <v>310.5</v>
      </c>
      <c r="O18" s="15">
        <f>SUM(K18:N18)</f>
        <v>351.51</v>
      </c>
      <c r="P18" s="18">
        <f t="shared" si="6"/>
        <v>2348.4899999999998</v>
      </c>
      <c r="Q18" s="10">
        <v>240.25</v>
      </c>
      <c r="R18" s="10">
        <v>540</v>
      </c>
      <c r="S18" s="35">
        <f t="shared" si="10"/>
        <v>780.25</v>
      </c>
    </row>
    <row r="19" spans="2:19" x14ac:dyDescent="0.25">
      <c r="B19" t="s">
        <v>117</v>
      </c>
      <c r="C19" t="s">
        <v>88</v>
      </c>
      <c r="D19" t="s">
        <v>40</v>
      </c>
      <c r="E19" s="15">
        <v>3150</v>
      </c>
      <c r="F19" s="29">
        <v>15</v>
      </c>
      <c r="G19" s="15">
        <v>0</v>
      </c>
      <c r="H19" s="15">
        <f t="shared" si="7"/>
        <v>3150</v>
      </c>
      <c r="I19" s="15">
        <v>126.77</v>
      </c>
      <c r="J19" s="15">
        <v>237.29</v>
      </c>
      <c r="K19" s="15">
        <f t="shared" si="8"/>
        <v>110.52</v>
      </c>
      <c r="L19" s="15">
        <v>0</v>
      </c>
      <c r="M19" s="15">
        <v>0</v>
      </c>
      <c r="N19" s="15">
        <f t="shared" si="9"/>
        <v>362.25</v>
      </c>
      <c r="O19" s="15">
        <f>SUM(K19:N19)</f>
        <v>472.77</v>
      </c>
      <c r="P19" s="18">
        <f t="shared" si="6"/>
        <v>2677.23</v>
      </c>
      <c r="Q19" s="10">
        <v>243.04</v>
      </c>
      <c r="R19" s="10">
        <v>630</v>
      </c>
      <c r="S19" s="35">
        <f t="shared" si="10"/>
        <v>873.04</v>
      </c>
    </row>
    <row r="20" spans="2:19" s="30" customFormat="1" x14ac:dyDescent="0.25">
      <c r="B20" s="2" t="s">
        <v>26</v>
      </c>
      <c r="E20" s="34">
        <f t="shared" ref="E20:S20" si="11">SUM(E12:E19)</f>
        <v>41550</v>
      </c>
      <c r="F20" s="34">
        <v>0</v>
      </c>
      <c r="G20" s="34">
        <f t="shared" si="11"/>
        <v>0</v>
      </c>
      <c r="H20" s="34">
        <f t="shared" si="11"/>
        <v>41550</v>
      </c>
      <c r="I20" s="34">
        <f t="shared" si="11"/>
        <v>274.08999999999997</v>
      </c>
      <c r="J20" s="34">
        <f t="shared" si="11"/>
        <v>4768.4400000000005</v>
      </c>
      <c r="K20" s="34">
        <f t="shared" si="11"/>
        <v>4494.3500000000013</v>
      </c>
      <c r="L20" s="34">
        <f t="shared" si="11"/>
        <v>0</v>
      </c>
      <c r="M20" s="34">
        <f t="shared" si="11"/>
        <v>0</v>
      </c>
      <c r="N20" s="34">
        <f t="shared" si="11"/>
        <v>4778.25</v>
      </c>
      <c r="O20" s="34">
        <f t="shared" si="11"/>
        <v>9272.6</v>
      </c>
      <c r="P20" s="34">
        <f t="shared" si="11"/>
        <v>32277.399999999998</v>
      </c>
      <c r="Q20" s="34">
        <f t="shared" si="11"/>
        <v>2045.7200000000003</v>
      </c>
      <c r="R20" s="34">
        <f t="shared" si="11"/>
        <v>8310</v>
      </c>
      <c r="S20" s="34">
        <f t="shared" si="11"/>
        <v>10355.720000000001</v>
      </c>
    </row>
    <row r="21" spans="2:19" x14ac:dyDescent="0.25">
      <c r="B21" s="2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2:19" x14ac:dyDescent="0.25">
      <c r="B22" s="2" t="s">
        <v>43</v>
      </c>
      <c r="C22" s="2" t="s">
        <v>44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2:19" x14ac:dyDescent="0.25">
      <c r="B23" t="s">
        <v>119</v>
      </c>
      <c r="C23" t="s">
        <v>91</v>
      </c>
      <c r="D23" t="s">
        <v>76</v>
      </c>
      <c r="E23" s="15">
        <v>5350</v>
      </c>
      <c r="F23" s="29">
        <v>15</v>
      </c>
      <c r="G23" s="15">
        <v>0</v>
      </c>
      <c r="H23" s="15">
        <f>E23+G23</f>
        <v>5350</v>
      </c>
      <c r="I23" s="15">
        <v>0</v>
      </c>
      <c r="J23" s="15">
        <v>588.20000000000005</v>
      </c>
      <c r="K23" s="15">
        <f>J23-I23</f>
        <v>588.20000000000005</v>
      </c>
      <c r="L23" s="15">
        <v>0</v>
      </c>
      <c r="M23" s="15">
        <v>0</v>
      </c>
      <c r="N23" s="15">
        <f>E23*0.115</f>
        <v>615.25</v>
      </c>
      <c r="O23" s="15">
        <f>SUM(K23:N23)</f>
        <v>1203.45</v>
      </c>
      <c r="P23" s="18">
        <f>H23-O23</f>
        <v>4146.55</v>
      </c>
      <c r="Q23" s="10">
        <v>256.68</v>
      </c>
      <c r="R23" s="10">
        <v>1070</v>
      </c>
      <c r="S23" s="35">
        <f>Q23+R23</f>
        <v>1326.68</v>
      </c>
    </row>
    <row r="24" spans="2:19" s="30" customFormat="1" x14ac:dyDescent="0.25">
      <c r="B24" s="2" t="s">
        <v>26</v>
      </c>
      <c r="E24" s="34">
        <f>SUM(E23:E23)</f>
        <v>5350</v>
      </c>
      <c r="F24" s="34">
        <v>0</v>
      </c>
      <c r="G24" s="34">
        <f>G23</f>
        <v>0</v>
      </c>
      <c r="H24" s="34">
        <f t="shared" ref="H24:S24" si="12">SUM(H23:H23)</f>
        <v>5350</v>
      </c>
      <c r="I24" s="34">
        <f t="shared" si="12"/>
        <v>0</v>
      </c>
      <c r="J24" s="34">
        <f t="shared" si="12"/>
        <v>588.20000000000005</v>
      </c>
      <c r="K24" s="34">
        <f t="shared" si="12"/>
        <v>588.20000000000005</v>
      </c>
      <c r="L24" s="34">
        <f t="shared" si="12"/>
        <v>0</v>
      </c>
      <c r="M24" s="34">
        <f t="shared" si="12"/>
        <v>0</v>
      </c>
      <c r="N24" s="34">
        <f t="shared" si="12"/>
        <v>615.25</v>
      </c>
      <c r="O24" s="34">
        <f t="shared" si="12"/>
        <v>1203.45</v>
      </c>
      <c r="P24" s="34">
        <f t="shared" si="12"/>
        <v>4146.55</v>
      </c>
      <c r="Q24" s="34">
        <f t="shared" si="12"/>
        <v>256.68</v>
      </c>
      <c r="R24" s="34">
        <f t="shared" si="12"/>
        <v>1070</v>
      </c>
      <c r="S24" s="34">
        <f t="shared" si="12"/>
        <v>1326.68</v>
      </c>
    </row>
    <row r="25" spans="2:19" x14ac:dyDescent="0.25"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2:19" x14ac:dyDescent="0.25">
      <c r="B26" s="2" t="s">
        <v>50</v>
      </c>
      <c r="C26" s="2" t="s">
        <v>47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2:19" x14ac:dyDescent="0.25">
      <c r="B27" t="s">
        <v>120</v>
      </c>
      <c r="C27" t="s">
        <v>93</v>
      </c>
      <c r="D27" t="s">
        <v>78</v>
      </c>
      <c r="E27" s="15">
        <v>5350</v>
      </c>
      <c r="F27" s="29">
        <v>15</v>
      </c>
      <c r="G27" s="15">
        <v>0</v>
      </c>
      <c r="H27" s="15">
        <f>E27+G27</f>
        <v>5350</v>
      </c>
      <c r="I27" s="15">
        <v>0</v>
      </c>
      <c r="J27" s="15">
        <v>588.20000000000005</v>
      </c>
      <c r="K27" s="15">
        <f>J27-I27</f>
        <v>588.20000000000005</v>
      </c>
      <c r="L27" s="15">
        <v>0</v>
      </c>
      <c r="M27" s="15">
        <v>0</v>
      </c>
      <c r="N27" s="15">
        <f>E27*0.115</f>
        <v>615.25</v>
      </c>
      <c r="O27" s="15">
        <f>SUM(K27:N27)</f>
        <v>1203.45</v>
      </c>
      <c r="P27" s="18">
        <f>H27-O27</f>
        <v>4146.55</v>
      </c>
      <c r="Q27" s="10">
        <v>256.68</v>
      </c>
      <c r="R27" s="10">
        <v>1070</v>
      </c>
      <c r="S27" s="35">
        <f>Q27+R27</f>
        <v>1326.68</v>
      </c>
    </row>
    <row r="28" spans="2:19" x14ac:dyDescent="0.25">
      <c r="B28" t="s">
        <v>121</v>
      </c>
      <c r="C28" t="s">
        <v>114</v>
      </c>
      <c r="D28" t="s">
        <v>79</v>
      </c>
      <c r="E28" s="15">
        <v>5350</v>
      </c>
      <c r="F28" s="29">
        <v>15</v>
      </c>
      <c r="G28" s="15">
        <v>0</v>
      </c>
      <c r="H28" s="15">
        <f>E28+G28</f>
        <v>5350</v>
      </c>
      <c r="I28" s="15">
        <v>0</v>
      </c>
      <c r="J28" s="15">
        <v>588.20000000000005</v>
      </c>
      <c r="K28" s="15">
        <f>J28-I28</f>
        <v>588.20000000000005</v>
      </c>
      <c r="L28" s="15">
        <v>0</v>
      </c>
      <c r="M28" s="15">
        <v>0</v>
      </c>
      <c r="N28" s="15">
        <f>E28*0.115</f>
        <v>615.25</v>
      </c>
      <c r="O28" s="15">
        <f>SUM(K28:N28)</f>
        <v>1203.45</v>
      </c>
      <c r="P28" s="18">
        <f>H28-O28</f>
        <v>4146.55</v>
      </c>
      <c r="Q28" s="10">
        <v>256.68</v>
      </c>
      <c r="R28" s="10">
        <v>1070</v>
      </c>
      <c r="S28" s="35">
        <f>Q28+R28</f>
        <v>1326.68</v>
      </c>
    </row>
    <row r="29" spans="2:19" s="30" customFormat="1" x14ac:dyDescent="0.25">
      <c r="B29" s="2" t="s">
        <v>26</v>
      </c>
      <c r="E29" s="34">
        <f>SUM(E27:E28)</f>
        <v>10700</v>
      </c>
      <c r="F29" s="34">
        <v>0</v>
      </c>
      <c r="G29" s="34">
        <f>SUM(G27:G28)</f>
        <v>0</v>
      </c>
      <c r="H29" s="34">
        <f>SUM(H27:H28)</f>
        <v>10700</v>
      </c>
      <c r="I29" s="34">
        <f t="shared" ref="I29:S29" si="13">SUM(I27:I28)</f>
        <v>0</v>
      </c>
      <c r="J29" s="34">
        <f t="shared" si="13"/>
        <v>1176.4000000000001</v>
      </c>
      <c r="K29" s="34">
        <f t="shared" si="13"/>
        <v>1176.4000000000001</v>
      </c>
      <c r="L29" s="34">
        <f t="shared" si="13"/>
        <v>0</v>
      </c>
      <c r="M29" s="34">
        <f t="shared" si="13"/>
        <v>0</v>
      </c>
      <c r="N29" s="34">
        <f t="shared" si="13"/>
        <v>1230.5</v>
      </c>
      <c r="O29" s="34">
        <f t="shared" si="13"/>
        <v>2406.9</v>
      </c>
      <c r="P29" s="34">
        <f t="shared" si="13"/>
        <v>8293.1</v>
      </c>
      <c r="Q29" s="34">
        <f t="shared" si="13"/>
        <v>513.36</v>
      </c>
      <c r="R29" s="34">
        <f t="shared" si="13"/>
        <v>2140</v>
      </c>
      <c r="S29" s="34">
        <f t="shared" si="13"/>
        <v>2653.36</v>
      </c>
    </row>
    <row r="30" spans="2:19" x14ac:dyDescent="0.25"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2:19" x14ac:dyDescent="0.25">
      <c r="B31" s="2" t="s">
        <v>63</v>
      </c>
      <c r="C31" s="2" t="s">
        <v>51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2:19" x14ac:dyDescent="0.25">
      <c r="B32" t="s">
        <v>122</v>
      </c>
      <c r="C32" t="s">
        <v>97</v>
      </c>
      <c r="D32" t="s">
        <v>80</v>
      </c>
      <c r="E32" s="15">
        <v>5350</v>
      </c>
      <c r="F32" s="29">
        <v>15</v>
      </c>
      <c r="G32" s="15">
        <v>0</v>
      </c>
      <c r="H32" s="15">
        <f>E32+G32</f>
        <v>5350</v>
      </c>
      <c r="I32" s="15">
        <v>0</v>
      </c>
      <c r="J32" s="15">
        <v>588.20000000000005</v>
      </c>
      <c r="K32" s="15">
        <f>J32-I32</f>
        <v>588.20000000000005</v>
      </c>
      <c r="L32" s="15">
        <v>0</v>
      </c>
      <c r="M32" s="15">
        <v>0</v>
      </c>
      <c r="N32" s="15">
        <f>E32*0.115</f>
        <v>615.25</v>
      </c>
      <c r="O32" s="15">
        <f>SUM(K32:N32)</f>
        <v>1203.45</v>
      </c>
      <c r="P32" s="18">
        <f t="shared" ref="P32:P42" si="14">H32-O32</f>
        <v>4146.55</v>
      </c>
      <c r="Q32" s="10">
        <v>256.68</v>
      </c>
      <c r="R32" s="10">
        <v>1070</v>
      </c>
      <c r="S32" s="35">
        <f t="shared" ref="S32:S42" si="15">Q32+R32</f>
        <v>1326.68</v>
      </c>
    </row>
    <row r="33" spans="2:19" x14ac:dyDescent="0.25">
      <c r="B33" t="s">
        <v>123</v>
      </c>
      <c r="C33" t="s">
        <v>100</v>
      </c>
      <c r="D33" t="s">
        <v>80</v>
      </c>
      <c r="E33" s="15">
        <v>5350</v>
      </c>
      <c r="F33" s="29">
        <v>15</v>
      </c>
      <c r="G33" s="15">
        <v>0</v>
      </c>
      <c r="H33" s="15">
        <f t="shared" ref="H33:H42" si="16">E33+G33</f>
        <v>5350</v>
      </c>
      <c r="I33" s="15">
        <v>0</v>
      </c>
      <c r="J33" s="15">
        <v>588.20000000000005</v>
      </c>
      <c r="K33" s="15">
        <f t="shared" ref="K33:K42" si="17">J33-I33</f>
        <v>588.20000000000005</v>
      </c>
      <c r="L33" s="15">
        <v>0</v>
      </c>
      <c r="M33" s="15">
        <v>0</v>
      </c>
      <c r="N33" s="15">
        <f t="shared" ref="N33:N42" si="18">E33*0.115</f>
        <v>615.25</v>
      </c>
      <c r="O33" s="15">
        <f t="shared" ref="O33:O42" si="19">SUM(K33:N33)</f>
        <v>1203.45</v>
      </c>
      <c r="P33" s="18">
        <f t="shared" si="14"/>
        <v>4146.55</v>
      </c>
      <c r="Q33" s="10">
        <v>256.68</v>
      </c>
      <c r="R33" s="10">
        <v>1070</v>
      </c>
      <c r="S33" s="35">
        <f t="shared" si="15"/>
        <v>1326.68</v>
      </c>
    </row>
    <row r="34" spans="2:19" x14ac:dyDescent="0.25">
      <c r="B34" t="s">
        <v>124</v>
      </c>
      <c r="C34" t="s">
        <v>96</v>
      </c>
      <c r="D34" t="s">
        <v>78</v>
      </c>
      <c r="E34" s="15">
        <v>5350</v>
      </c>
      <c r="F34" s="29">
        <v>15</v>
      </c>
      <c r="G34" s="15">
        <v>0</v>
      </c>
      <c r="H34" s="15">
        <f t="shared" si="16"/>
        <v>5350</v>
      </c>
      <c r="I34" s="15">
        <v>0</v>
      </c>
      <c r="J34" s="15">
        <v>588.20000000000005</v>
      </c>
      <c r="K34" s="15">
        <f t="shared" si="17"/>
        <v>588.20000000000005</v>
      </c>
      <c r="L34" s="15">
        <v>0</v>
      </c>
      <c r="M34" s="15">
        <v>0</v>
      </c>
      <c r="N34" s="15">
        <f t="shared" si="18"/>
        <v>615.25</v>
      </c>
      <c r="O34" s="15">
        <f t="shared" si="19"/>
        <v>1203.45</v>
      </c>
      <c r="P34" s="18">
        <f t="shared" si="14"/>
        <v>4146.55</v>
      </c>
      <c r="Q34" s="10">
        <v>256.68</v>
      </c>
      <c r="R34" s="10">
        <v>1070</v>
      </c>
      <c r="S34" s="35">
        <f t="shared" si="15"/>
        <v>1326.68</v>
      </c>
    </row>
    <row r="35" spans="2:19" x14ac:dyDescent="0.25">
      <c r="B35" t="s">
        <v>125</v>
      </c>
      <c r="C35" t="s">
        <v>104</v>
      </c>
      <c r="D35" t="s">
        <v>78</v>
      </c>
      <c r="E35" s="15">
        <v>5350</v>
      </c>
      <c r="F35" s="29">
        <v>15</v>
      </c>
      <c r="G35" s="15">
        <v>0</v>
      </c>
      <c r="H35" s="15">
        <f t="shared" si="16"/>
        <v>5350</v>
      </c>
      <c r="I35" s="15">
        <v>0</v>
      </c>
      <c r="J35" s="15">
        <v>588.20000000000005</v>
      </c>
      <c r="K35" s="15">
        <f t="shared" si="17"/>
        <v>588.20000000000005</v>
      </c>
      <c r="L35" s="15">
        <v>0</v>
      </c>
      <c r="M35" s="15">
        <v>0</v>
      </c>
      <c r="N35" s="15">
        <f t="shared" si="18"/>
        <v>615.25</v>
      </c>
      <c r="O35" s="15">
        <f t="shared" si="19"/>
        <v>1203.45</v>
      </c>
      <c r="P35" s="18">
        <f t="shared" si="14"/>
        <v>4146.55</v>
      </c>
      <c r="Q35" s="10">
        <v>256.68</v>
      </c>
      <c r="R35" s="10">
        <v>1070</v>
      </c>
      <c r="S35" s="35">
        <f t="shared" si="15"/>
        <v>1326.68</v>
      </c>
    </row>
    <row r="36" spans="2:19" x14ac:dyDescent="0.25">
      <c r="B36" t="s">
        <v>126</v>
      </c>
      <c r="C36" t="s">
        <v>94</v>
      </c>
      <c r="D36" t="s">
        <v>81</v>
      </c>
      <c r="E36" s="15">
        <v>5350</v>
      </c>
      <c r="F36" s="29">
        <v>15</v>
      </c>
      <c r="G36" s="15">
        <v>0</v>
      </c>
      <c r="H36" s="15">
        <f t="shared" si="16"/>
        <v>5350</v>
      </c>
      <c r="I36" s="15">
        <v>0</v>
      </c>
      <c r="J36" s="15">
        <v>588.20000000000005</v>
      </c>
      <c r="K36" s="15">
        <f t="shared" si="17"/>
        <v>588.20000000000005</v>
      </c>
      <c r="L36" s="15">
        <v>0</v>
      </c>
      <c r="M36" s="15">
        <v>0</v>
      </c>
      <c r="N36" s="15">
        <f t="shared" si="18"/>
        <v>615.25</v>
      </c>
      <c r="O36" s="15">
        <f t="shared" si="19"/>
        <v>1203.45</v>
      </c>
      <c r="P36" s="18">
        <f t="shared" si="14"/>
        <v>4146.55</v>
      </c>
      <c r="Q36" s="10">
        <v>256.68</v>
      </c>
      <c r="R36" s="10">
        <v>1070</v>
      </c>
      <c r="S36" s="35">
        <f t="shared" si="15"/>
        <v>1326.68</v>
      </c>
    </row>
    <row r="37" spans="2:19" x14ac:dyDescent="0.25">
      <c r="B37" t="s">
        <v>127</v>
      </c>
      <c r="C37" t="s">
        <v>98</v>
      </c>
      <c r="D37" t="s">
        <v>81</v>
      </c>
      <c r="E37" s="15">
        <v>5350</v>
      </c>
      <c r="F37" s="29">
        <v>15</v>
      </c>
      <c r="G37" s="15">
        <v>0</v>
      </c>
      <c r="H37" s="15">
        <f t="shared" si="16"/>
        <v>5350</v>
      </c>
      <c r="I37" s="15">
        <v>0</v>
      </c>
      <c r="J37" s="15">
        <v>588.20000000000005</v>
      </c>
      <c r="K37" s="15">
        <f t="shared" si="17"/>
        <v>588.20000000000005</v>
      </c>
      <c r="L37" s="15">
        <v>0</v>
      </c>
      <c r="M37" s="15">
        <v>0</v>
      </c>
      <c r="N37" s="15">
        <f t="shared" si="18"/>
        <v>615.25</v>
      </c>
      <c r="O37" s="15">
        <f t="shared" si="19"/>
        <v>1203.45</v>
      </c>
      <c r="P37" s="18">
        <f t="shared" si="14"/>
        <v>4146.55</v>
      </c>
      <c r="Q37" s="10">
        <v>256.68</v>
      </c>
      <c r="R37" s="10">
        <v>1070</v>
      </c>
      <c r="S37" s="35">
        <f t="shared" si="15"/>
        <v>1326.68</v>
      </c>
    </row>
    <row r="38" spans="2:19" x14ac:dyDescent="0.25">
      <c r="B38" t="s">
        <v>128</v>
      </c>
      <c r="C38" t="s">
        <v>101</v>
      </c>
      <c r="D38" t="s">
        <v>81</v>
      </c>
      <c r="E38" s="15">
        <v>5350</v>
      </c>
      <c r="F38" s="29">
        <v>15</v>
      </c>
      <c r="G38" s="15">
        <v>0</v>
      </c>
      <c r="H38" s="15">
        <f t="shared" si="16"/>
        <v>5350</v>
      </c>
      <c r="I38" s="15">
        <v>0</v>
      </c>
      <c r="J38" s="15">
        <v>588.20000000000005</v>
      </c>
      <c r="K38" s="15">
        <f t="shared" si="17"/>
        <v>588.20000000000005</v>
      </c>
      <c r="L38" s="15">
        <v>0</v>
      </c>
      <c r="M38" s="15">
        <v>0</v>
      </c>
      <c r="N38" s="15">
        <f t="shared" si="18"/>
        <v>615.25</v>
      </c>
      <c r="O38" s="15">
        <f t="shared" si="19"/>
        <v>1203.45</v>
      </c>
      <c r="P38" s="18">
        <f t="shared" si="14"/>
        <v>4146.55</v>
      </c>
      <c r="Q38" s="10">
        <v>256.68</v>
      </c>
      <c r="R38" s="10">
        <v>1070</v>
      </c>
      <c r="S38" s="35">
        <f t="shared" si="15"/>
        <v>1326.68</v>
      </c>
    </row>
    <row r="39" spans="2:19" x14ac:dyDescent="0.25">
      <c r="B39" t="s">
        <v>129</v>
      </c>
      <c r="C39" t="s">
        <v>95</v>
      </c>
      <c r="D39" t="s">
        <v>82</v>
      </c>
      <c r="E39" s="15">
        <v>5350</v>
      </c>
      <c r="F39" s="29">
        <v>15</v>
      </c>
      <c r="G39" s="15">
        <v>0</v>
      </c>
      <c r="H39" s="15">
        <f t="shared" si="16"/>
        <v>5350</v>
      </c>
      <c r="I39" s="15">
        <v>0</v>
      </c>
      <c r="J39" s="15">
        <v>588.20000000000005</v>
      </c>
      <c r="K39" s="15">
        <f t="shared" si="17"/>
        <v>588.20000000000005</v>
      </c>
      <c r="L39" s="15">
        <v>0</v>
      </c>
      <c r="M39" s="15">
        <v>0</v>
      </c>
      <c r="N39" s="15">
        <f t="shared" si="18"/>
        <v>615.25</v>
      </c>
      <c r="O39" s="15">
        <f t="shared" si="19"/>
        <v>1203.45</v>
      </c>
      <c r="P39" s="18">
        <f t="shared" si="14"/>
        <v>4146.55</v>
      </c>
      <c r="Q39" s="10">
        <v>256.68</v>
      </c>
      <c r="R39" s="10">
        <v>1070</v>
      </c>
      <c r="S39" s="35">
        <f t="shared" si="15"/>
        <v>1326.68</v>
      </c>
    </row>
    <row r="40" spans="2:19" x14ac:dyDescent="0.25">
      <c r="B40" t="s">
        <v>130</v>
      </c>
      <c r="C40" t="s">
        <v>102</v>
      </c>
      <c r="D40" t="s">
        <v>82</v>
      </c>
      <c r="E40" s="15">
        <v>5350</v>
      </c>
      <c r="F40" s="29">
        <v>15</v>
      </c>
      <c r="G40" s="15">
        <v>0</v>
      </c>
      <c r="H40" s="15">
        <f t="shared" si="16"/>
        <v>5350</v>
      </c>
      <c r="I40" s="15">
        <v>0</v>
      </c>
      <c r="J40" s="15">
        <v>588.20000000000005</v>
      </c>
      <c r="K40" s="15">
        <f t="shared" si="17"/>
        <v>588.20000000000005</v>
      </c>
      <c r="L40" s="15">
        <v>0</v>
      </c>
      <c r="M40" s="15">
        <v>0</v>
      </c>
      <c r="N40" s="15">
        <f t="shared" si="18"/>
        <v>615.25</v>
      </c>
      <c r="O40" s="15">
        <f t="shared" si="19"/>
        <v>1203.45</v>
      </c>
      <c r="P40" s="18">
        <f t="shared" si="14"/>
        <v>4146.55</v>
      </c>
      <c r="Q40" s="10">
        <v>256.68</v>
      </c>
      <c r="R40" s="10">
        <v>1070</v>
      </c>
      <c r="S40" s="35">
        <f t="shared" si="15"/>
        <v>1326.68</v>
      </c>
    </row>
    <row r="41" spans="2:19" x14ac:dyDescent="0.25">
      <c r="B41" t="s">
        <v>131</v>
      </c>
      <c r="C41" t="s">
        <v>85</v>
      </c>
      <c r="D41" t="s">
        <v>83</v>
      </c>
      <c r="E41" s="15">
        <v>5350</v>
      </c>
      <c r="F41" s="29">
        <v>15</v>
      </c>
      <c r="G41" s="15">
        <v>0</v>
      </c>
      <c r="H41" s="15">
        <f t="shared" si="16"/>
        <v>5350</v>
      </c>
      <c r="I41" s="15">
        <v>0</v>
      </c>
      <c r="J41" s="15">
        <v>588.20000000000005</v>
      </c>
      <c r="K41" s="15">
        <f t="shared" si="17"/>
        <v>588.20000000000005</v>
      </c>
      <c r="L41" s="15">
        <v>0</v>
      </c>
      <c r="M41" s="15">
        <v>0</v>
      </c>
      <c r="N41" s="15">
        <f t="shared" si="18"/>
        <v>615.25</v>
      </c>
      <c r="O41" s="15">
        <f t="shared" si="19"/>
        <v>1203.45</v>
      </c>
      <c r="P41" s="18">
        <f t="shared" si="14"/>
        <v>4146.55</v>
      </c>
      <c r="Q41" s="10">
        <v>256.68</v>
      </c>
      <c r="R41" s="10">
        <v>1070</v>
      </c>
      <c r="S41" s="35">
        <f t="shared" si="15"/>
        <v>1326.68</v>
      </c>
    </row>
    <row r="42" spans="2:19" x14ac:dyDescent="0.25">
      <c r="B42" t="s">
        <v>132</v>
      </c>
      <c r="C42" t="s">
        <v>103</v>
      </c>
      <c r="D42" t="s">
        <v>83</v>
      </c>
      <c r="E42" s="15">
        <v>5350</v>
      </c>
      <c r="F42" s="29">
        <v>15</v>
      </c>
      <c r="G42" s="15">
        <v>0</v>
      </c>
      <c r="H42" s="15">
        <f t="shared" si="16"/>
        <v>5350</v>
      </c>
      <c r="I42" s="15">
        <v>0</v>
      </c>
      <c r="J42" s="15">
        <v>588.20000000000005</v>
      </c>
      <c r="K42" s="15">
        <f t="shared" si="17"/>
        <v>588.20000000000005</v>
      </c>
      <c r="L42" s="15">
        <v>0</v>
      </c>
      <c r="M42" s="15">
        <v>0</v>
      </c>
      <c r="N42" s="15">
        <f t="shared" si="18"/>
        <v>615.25</v>
      </c>
      <c r="O42" s="15">
        <f t="shared" si="19"/>
        <v>1203.45</v>
      </c>
      <c r="P42" s="18">
        <f t="shared" si="14"/>
        <v>4146.55</v>
      </c>
      <c r="Q42" s="10">
        <v>256.68</v>
      </c>
      <c r="R42" s="10">
        <v>1070</v>
      </c>
      <c r="S42" s="35">
        <f t="shared" si="15"/>
        <v>1326.68</v>
      </c>
    </row>
    <row r="43" spans="2:19" s="30" customFormat="1" x14ac:dyDescent="0.25">
      <c r="B43" s="2" t="s">
        <v>26</v>
      </c>
      <c r="E43" s="34">
        <f>SUM(E32:E42)</f>
        <v>58850</v>
      </c>
      <c r="F43" s="34">
        <v>0</v>
      </c>
      <c r="G43" s="34">
        <f>SUM(G32:G42)</f>
        <v>0</v>
      </c>
      <c r="H43" s="34">
        <f>SUM(H32:H42)</f>
        <v>58850</v>
      </c>
      <c r="I43" s="34">
        <f t="shared" ref="I43:S43" si="20">SUM(I32:I42)</f>
        <v>0</v>
      </c>
      <c r="J43" s="34">
        <f t="shared" si="20"/>
        <v>6470.1999999999989</v>
      </c>
      <c r="K43" s="34">
        <f t="shared" si="20"/>
        <v>6470.1999999999989</v>
      </c>
      <c r="L43" s="34">
        <f t="shared" si="20"/>
        <v>0</v>
      </c>
      <c r="M43" s="34">
        <f t="shared" si="20"/>
        <v>0</v>
      </c>
      <c r="N43" s="34">
        <f t="shared" si="20"/>
        <v>6767.75</v>
      </c>
      <c r="O43" s="34">
        <f t="shared" si="20"/>
        <v>13237.950000000003</v>
      </c>
      <c r="P43" s="34">
        <f t="shared" si="20"/>
        <v>45612.05000000001</v>
      </c>
      <c r="Q43" s="34">
        <f t="shared" si="20"/>
        <v>2823.4799999999996</v>
      </c>
      <c r="R43" s="34">
        <f t="shared" si="20"/>
        <v>11770</v>
      </c>
      <c r="S43" s="34">
        <f t="shared" si="20"/>
        <v>14593.480000000001</v>
      </c>
    </row>
    <row r="44" spans="2:19" x14ac:dyDescent="0.25"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2:19" x14ac:dyDescent="0.25">
      <c r="B45" s="2" t="s">
        <v>140</v>
      </c>
      <c r="C45" s="2" t="s">
        <v>64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2:19" x14ac:dyDescent="0.25">
      <c r="B46" t="s">
        <v>133</v>
      </c>
      <c r="C46" t="s">
        <v>99</v>
      </c>
      <c r="D46" t="s">
        <v>80</v>
      </c>
      <c r="E46" s="15">
        <v>5350</v>
      </c>
      <c r="F46" s="29">
        <v>15</v>
      </c>
      <c r="G46" s="15">
        <v>0</v>
      </c>
      <c r="H46" s="15">
        <f>E46+G46</f>
        <v>5350</v>
      </c>
      <c r="I46" s="15">
        <v>0</v>
      </c>
      <c r="J46" s="15">
        <v>588.20000000000005</v>
      </c>
      <c r="K46" s="15">
        <f>J46-I46</f>
        <v>588.20000000000005</v>
      </c>
      <c r="L46" s="15">
        <v>0</v>
      </c>
      <c r="M46" s="15">
        <v>0</v>
      </c>
      <c r="N46" s="15">
        <f>E46*0.115</f>
        <v>615.25</v>
      </c>
      <c r="O46" s="15">
        <f>SUM(K46:N46)</f>
        <v>1203.45</v>
      </c>
      <c r="P46" s="18">
        <f>H46-O46</f>
        <v>4146.55</v>
      </c>
      <c r="Q46" s="10">
        <v>256.68</v>
      </c>
      <c r="R46" s="10">
        <v>1070</v>
      </c>
      <c r="S46" s="35">
        <f t="shared" ref="S46:S47" si="21">Q46+R46</f>
        <v>1326.68</v>
      </c>
    </row>
    <row r="47" spans="2:19" x14ac:dyDescent="0.25">
      <c r="B47" t="s">
        <v>152</v>
      </c>
      <c r="C47" t="s">
        <v>92</v>
      </c>
      <c r="D47" t="s">
        <v>80</v>
      </c>
      <c r="E47" s="15">
        <v>5350</v>
      </c>
      <c r="F47" s="29">
        <v>15</v>
      </c>
      <c r="G47" s="15">
        <v>0</v>
      </c>
      <c r="H47" s="15">
        <f>E47+G47</f>
        <v>5350</v>
      </c>
      <c r="I47" s="15">
        <v>0</v>
      </c>
      <c r="J47" s="15">
        <v>588.20000000000005</v>
      </c>
      <c r="K47" s="15">
        <v>588.20000000000005</v>
      </c>
      <c r="L47" s="15">
        <v>0</v>
      </c>
      <c r="M47" s="15">
        <v>0</v>
      </c>
      <c r="N47" s="15">
        <f>E47*0.115</f>
        <v>615.25</v>
      </c>
      <c r="O47" s="15">
        <f>SUM(K47:N47)</f>
        <v>1203.45</v>
      </c>
      <c r="P47" s="18">
        <f>H47-O47</f>
        <v>4146.55</v>
      </c>
      <c r="Q47" s="10">
        <v>256.68</v>
      </c>
      <c r="R47" s="10">
        <v>1070</v>
      </c>
      <c r="S47" s="35">
        <f t="shared" si="21"/>
        <v>1326.68</v>
      </c>
    </row>
    <row r="48" spans="2:19" s="30" customFormat="1" x14ac:dyDescent="0.25">
      <c r="B48" s="2" t="s">
        <v>26</v>
      </c>
      <c r="E48" s="34">
        <f>E46+E47</f>
        <v>10700</v>
      </c>
      <c r="F48" s="34">
        <v>0</v>
      </c>
      <c r="G48" s="34">
        <f>G46+G47</f>
        <v>0</v>
      </c>
      <c r="H48" s="34">
        <f t="shared" ref="H48:S48" si="22">H46+H47</f>
        <v>10700</v>
      </c>
      <c r="I48" s="34">
        <f t="shared" si="22"/>
        <v>0</v>
      </c>
      <c r="J48" s="34">
        <f t="shared" si="22"/>
        <v>1176.4000000000001</v>
      </c>
      <c r="K48" s="34">
        <f t="shared" si="22"/>
        <v>1176.4000000000001</v>
      </c>
      <c r="L48" s="34">
        <f t="shared" si="22"/>
        <v>0</v>
      </c>
      <c r="M48" s="34">
        <f t="shared" si="22"/>
        <v>0</v>
      </c>
      <c r="N48" s="34">
        <f t="shared" si="22"/>
        <v>1230.5</v>
      </c>
      <c r="O48" s="34">
        <f t="shared" si="22"/>
        <v>2406.9</v>
      </c>
      <c r="P48" s="34">
        <f t="shared" si="22"/>
        <v>8293.1</v>
      </c>
      <c r="Q48" s="34">
        <f t="shared" si="22"/>
        <v>513.36</v>
      </c>
      <c r="R48" s="34">
        <f t="shared" si="22"/>
        <v>2140</v>
      </c>
      <c r="S48" s="34">
        <f t="shared" si="22"/>
        <v>2653.36</v>
      </c>
    </row>
    <row r="49" spans="2:19" x14ac:dyDescent="0.25">
      <c r="B49" s="2"/>
      <c r="E49" s="15"/>
      <c r="F49" s="15"/>
      <c r="G49" s="15"/>
      <c r="H49" s="16"/>
      <c r="I49" s="16"/>
      <c r="J49" s="16"/>
      <c r="K49" s="16"/>
      <c r="L49" s="16"/>
      <c r="M49" s="16"/>
      <c r="N49" s="16"/>
      <c r="O49" s="16"/>
      <c r="P49" s="16"/>
      <c r="Q49" s="8"/>
      <c r="R49" s="8"/>
      <c r="S49" s="8"/>
    </row>
    <row r="51" spans="2:19" ht="18.75" x14ac:dyDescent="0.3">
      <c r="D51" s="4" t="s">
        <v>105</v>
      </c>
      <c r="E51" s="17">
        <f>E9+E20+E24+E29+E43+E48</f>
        <v>158954.95000000001</v>
      </c>
      <c r="F51" s="17">
        <f t="shared" ref="F51:S51" si="23">F9+F20+F24+F29+F43+F48</f>
        <v>0</v>
      </c>
      <c r="G51" s="17">
        <f t="shared" si="23"/>
        <v>0</v>
      </c>
      <c r="H51" s="17">
        <f t="shared" si="23"/>
        <v>158954.95000000001</v>
      </c>
      <c r="I51" s="17">
        <f t="shared" si="23"/>
        <v>274.08999999999997</v>
      </c>
      <c r="J51" s="17">
        <f t="shared" si="23"/>
        <v>19499.7</v>
      </c>
      <c r="K51" s="17">
        <f t="shared" si="23"/>
        <v>19225.61</v>
      </c>
      <c r="L51" s="17">
        <f t="shared" si="23"/>
        <v>0</v>
      </c>
      <c r="M51" s="17">
        <f t="shared" si="23"/>
        <v>0</v>
      </c>
      <c r="N51" s="17">
        <f t="shared" si="23"/>
        <v>18279.81925</v>
      </c>
      <c r="O51" s="17">
        <f t="shared" si="23"/>
        <v>37505.429250000008</v>
      </c>
      <c r="P51" s="17">
        <f t="shared" si="23"/>
        <v>121449.52075000003</v>
      </c>
      <c r="Q51" s="17">
        <f t="shared" si="23"/>
        <v>7020.3799999999992</v>
      </c>
      <c r="R51" s="17">
        <f t="shared" si="23"/>
        <v>31790.989999999998</v>
      </c>
      <c r="S51" s="17">
        <f t="shared" si="23"/>
        <v>38811.370000000003</v>
      </c>
    </row>
    <row r="57" spans="2:19" ht="15.75" thickBot="1" x14ac:dyDescent="0.3">
      <c r="E57" s="375"/>
      <c r="F57" s="375"/>
      <c r="G57" s="375"/>
      <c r="J57" s="375"/>
      <c r="K57" s="375"/>
      <c r="L57" s="375"/>
    </row>
    <row r="58" spans="2:19" x14ac:dyDescent="0.25">
      <c r="E58" s="377" t="s">
        <v>146</v>
      </c>
      <c r="F58" s="377"/>
      <c r="G58" s="377"/>
      <c r="J58" s="378" t="s">
        <v>145</v>
      </c>
      <c r="K58" s="378"/>
      <c r="L58" s="378"/>
    </row>
    <row r="59" spans="2:19" ht="15.75" x14ac:dyDescent="0.3">
      <c r="E59" s="379" t="s">
        <v>144</v>
      </c>
      <c r="F59" s="379"/>
      <c r="G59" s="377"/>
      <c r="J59" s="379" t="s">
        <v>145</v>
      </c>
      <c r="K59" s="379"/>
      <c r="L59" s="379"/>
    </row>
  </sheetData>
  <mergeCells count="8">
    <mergeCell ref="E59:G59"/>
    <mergeCell ref="J59:L59"/>
    <mergeCell ref="C2:D2"/>
    <mergeCell ref="E3:S3"/>
    <mergeCell ref="E57:G57"/>
    <mergeCell ref="J57:L57"/>
    <mergeCell ref="E58:G58"/>
    <mergeCell ref="J58:L58"/>
  </mergeCells>
  <pageMargins left="0.70866141732283472" right="0.70866141732283472" top="0.74803149606299213" bottom="0.74803149606299213" header="0.31496062992125984" footer="0.31496062992125984"/>
  <pageSetup scale="5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45</vt:i4>
      </vt:variant>
      <vt:variant>
        <vt:lpstr>Rangos con nombre</vt:lpstr>
      </vt:variant>
      <vt:variant>
        <vt:i4>1</vt:i4>
      </vt:variant>
    </vt:vector>
  </HeadingPairs>
  <TitlesOfParts>
    <vt:vector size="46" baseType="lpstr">
      <vt:lpstr>Nómina 1a. Sep</vt:lpstr>
      <vt:lpstr>Nómina 2a. sep</vt:lpstr>
      <vt:lpstr>Nómina 1a. oct</vt:lpstr>
      <vt:lpstr>Nómina 2a. oct (2)</vt:lpstr>
      <vt:lpstr>1A NOVIEMBRE 2015</vt:lpstr>
      <vt:lpstr>2A NOVIEMBRE 2015</vt:lpstr>
      <vt:lpstr>1A DICIEMBRE 2015</vt:lpstr>
      <vt:lpstr>2A DICIEMBRE 2015</vt:lpstr>
      <vt:lpstr>1A ENERO 2016</vt:lpstr>
      <vt:lpstr>2A ENERO 2016</vt:lpstr>
      <vt:lpstr>1A FEBRERO 2016</vt:lpstr>
      <vt:lpstr>2A FEBRERO 2016</vt:lpstr>
      <vt:lpstr>1A MARZO 2016</vt:lpstr>
      <vt:lpstr>2A MARZO 2016</vt:lpstr>
      <vt:lpstr>1A ABRIL 2016</vt:lpstr>
      <vt:lpstr>2A ABRIL 2016</vt:lpstr>
      <vt:lpstr>1A MAYO</vt:lpstr>
      <vt:lpstr>2A MAYO</vt:lpstr>
      <vt:lpstr>1A JUNIO </vt:lpstr>
      <vt:lpstr>2DA JUNIO</vt:lpstr>
      <vt:lpstr>1A JULIO</vt:lpstr>
      <vt:lpstr>2DA JULIO </vt:lpstr>
      <vt:lpstr>1A AGOSTO</vt:lpstr>
      <vt:lpstr>2DA AGOSTO </vt:lpstr>
      <vt:lpstr>1RA SEPTIEMBRE </vt:lpstr>
      <vt:lpstr>BONO SERVIDOR </vt:lpstr>
      <vt:lpstr>2DA SEPTIEMBRE  </vt:lpstr>
      <vt:lpstr>1RA OCTUBRE </vt:lpstr>
      <vt:lpstr>2DA OCTUBRE  </vt:lpstr>
      <vt:lpstr>1RA NOVIEMBRE  </vt:lpstr>
      <vt:lpstr>2DA NOVIEMBRE </vt:lpstr>
      <vt:lpstr>Aguinaldo</vt:lpstr>
      <vt:lpstr>1RA DICIEMBRE </vt:lpstr>
      <vt:lpstr>2DA DICIEMBRE </vt:lpstr>
      <vt:lpstr>1RA ENERO 2017</vt:lpstr>
      <vt:lpstr>2DA ENERO 2017 </vt:lpstr>
      <vt:lpstr>1RA FEBRERO 2017  </vt:lpstr>
      <vt:lpstr>2DA FEBRERO 2017   </vt:lpstr>
      <vt:lpstr>1A MARZO 2017  </vt:lpstr>
      <vt:lpstr>RETROACTIVO A FEB 2017</vt:lpstr>
      <vt:lpstr>2DA MARZO 2017   </vt:lpstr>
      <vt:lpstr>1RA ABRIL 2017    </vt:lpstr>
      <vt:lpstr>2DA ABRIL 2017    </vt:lpstr>
      <vt:lpstr>1RA MAYO 2017    </vt:lpstr>
      <vt:lpstr>2DA MAYO 2017 </vt:lpstr>
      <vt:lpstr>'2A MAYO'!Área_de_impresión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luis topete martinez</cp:lastModifiedBy>
  <cp:lastPrinted>2017-05-25T14:02:42Z</cp:lastPrinted>
  <dcterms:created xsi:type="dcterms:W3CDTF">2015-06-25T00:27:43Z</dcterms:created>
  <dcterms:modified xsi:type="dcterms:W3CDTF">2017-05-25T15:22:31Z</dcterms:modified>
</cp:coreProperties>
</file>